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60" windowWidth="9720" windowHeight="4935" tabRatio="784" firstSheet="2" activeTab="4"/>
  </bookViews>
  <sheets>
    <sheet name="Procedure" sheetId="1" r:id="rId1"/>
    <sheet name="Trigonometry" sheetId="2" r:id="rId2"/>
    <sheet name="Trigonometry ABC" sheetId="3" r:id="rId3"/>
    <sheet name="Trigonometric Function" sheetId="4" r:id="rId4"/>
    <sheet name="PowerPointTheorum" sheetId="5" r:id="rId5"/>
  </sheets>
  <externalReferences>
    <externalReference r:id="rId8"/>
  </externalReferences>
  <definedNames>
    <definedName name="A" localSheetId="2">'Trigonometry ABC'!$B$24</definedName>
    <definedName name="A">'Trigonometry'!$B$22</definedName>
    <definedName name="B" localSheetId="2">'Trigonometry ABC'!$B$25</definedName>
    <definedName name="B">'Trigonometry'!$B$23</definedName>
    <definedName name="D">'Trigonometry ABC'!$G$20</definedName>
    <definedName name="degree">'Procedure'!$A$1</definedName>
    <definedName name="degrees" localSheetId="4">'PowerPointTheorum'!$A$1</definedName>
    <definedName name="degrees">'Trigonometric Function'!$A$1</definedName>
    <definedName name="E">'Trigonometry ABC'!$G$21</definedName>
    <definedName name="F">'Trigonometry ABC'!$G$22</definedName>
    <definedName name="G" localSheetId="4">'PowerPointTheorum'!$C$28</definedName>
    <definedName name="G">'Trigonometric Function'!$C$28</definedName>
    <definedName name="H" localSheetId="4">'PowerPointTheorum'!$C$29</definedName>
    <definedName name="H">'Trigonometric Function'!$C$29</definedName>
    <definedName name="I" localSheetId="4">'PowerPointTheorum'!$C$30</definedName>
    <definedName name="I">'Trigonometric Function'!$C$30</definedName>
    <definedName name="J" localSheetId="4">'PowerPointTheorum'!$C$43</definedName>
    <definedName name="J">'Trigonometric Function'!$C$43</definedName>
    <definedName name="K" localSheetId="4">'PowerPointTheorum'!$C$44</definedName>
    <definedName name="K">'Trigonometric Function'!$C$44</definedName>
    <definedName name="L" localSheetId="4">'PowerPointTheorum'!$C$45</definedName>
    <definedName name="L">'Trigonometric Function'!$C$45</definedName>
    <definedName name="M" localSheetId="4">'PowerPointTheorum'!$C$62</definedName>
    <definedName name="M">'Trigonometric Function'!$C$62</definedName>
    <definedName name="N" localSheetId="4">'PowerPointTheorum'!$C$63</definedName>
    <definedName name="N">'Trigonometric Function'!$C$63</definedName>
    <definedName name="O" localSheetId="4">'PowerPointTheorum'!$C$64</definedName>
    <definedName name="O">'Trigonometric Function'!$C$64</definedName>
    <definedName name="P" localSheetId="4">'PowerPointTheorum'!$C$81</definedName>
    <definedName name="P">'Trigonometric Function'!$C$81</definedName>
    <definedName name="PI">'Trigonometry ABC'!$B$27</definedName>
    <definedName name="_xlnm.Print_Area" localSheetId="1">'Trigonometry'!$B$1:$Q$58</definedName>
    <definedName name="_xlnm.Print_Area" localSheetId="2">'Trigonometry ABC'!$B$1:$Q$77</definedName>
    <definedName name="Q" localSheetId="4">'PowerPointTheorum'!$C$82</definedName>
    <definedName name="Q">'Trigonometric Function'!$C$82</definedName>
    <definedName name="Resolve">'PowerPointTheorum'!$U$3</definedName>
    <definedName name="S" localSheetId="4">'PowerPointTheorum'!$C$83</definedName>
    <definedName name="S">'Trigonometric Function'!$C$83</definedName>
    <definedName name="T">'Trigonometry ABC'!$B$26</definedName>
    <definedName name="TrigonometryABT">'[1]Trigonometry'!$B$23</definedName>
    <definedName name="x" localSheetId="4">'PowerPointTheorum'!$C$24</definedName>
    <definedName name="x">'Trigonometric Function'!$C$24</definedName>
    <definedName name="y" localSheetId="4">'PowerPointTheorum'!$C$25</definedName>
    <definedName name="y">'Trigonometric Function'!$C$25</definedName>
  </definedNames>
  <calcPr fullCalcOnLoad="1"/>
</workbook>
</file>

<file path=xl/comments3.xml><?xml version="1.0" encoding="utf-8"?>
<comments xmlns="http://schemas.openxmlformats.org/spreadsheetml/2006/main">
  <authors>
    <author> Matsuoka</author>
    <author> </author>
  </authors>
  <commentList>
    <comment ref="I21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F27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Click A</t>
        </r>
      </text>
    </comment>
  </commentList>
</comments>
</file>

<file path=xl/comments4.xml><?xml version="1.0" encoding="utf-8"?>
<comments xmlns="http://schemas.openxmlformats.org/spreadsheetml/2006/main">
  <authors>
    <author> Matsuoka</author>
    <author> </author>
  </authors>
  <commentList>
    <comment ref="E29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E43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F43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Length TB (J) with K, L and angle A</t>
        </r>
      </text>
    </comment>
    <comment ref="E44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E45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B50" authorId="1">
      <text>
        <r>
          <rPr>
            <sz val="12"/>
            <rFont val="ＭＳ Ｐゴシック"/>
            <family val="3"/>
          </rPr>
          <t>Click A</t>
        </r>
      </text>
    </comment>
    <comment ref="E62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E63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E64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E81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E82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E83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C24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Cell "x"</t>
        </r>
      </text>
    </comment>
    <comment ref="C25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Cell "y"</t>
        </r>
      </text>
    </comment>
    <comment ref="Q52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Cell "x"</t>
        </r>
      </text>
    </comment>
    <comment ref="R52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Cell "y"</t>
        </r>
      </text>
    </comment>
    <comment ref="N6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N7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N8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K13" authorId="1">
      <text>
        <r>
          <rPr>
            <sz val="12"/>
            <rFont val="ＭＳ Ｐゴシック"/>
            <family val="3"/>
          </rPr>
          <t>Click A</t>
        </r>
      </text>
    </comment>
    <comment ref="O6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Length TB (J) with K, L and angle A</t>
        </r>
      </text>
    </comment>
    <comment ref="J16" authorId="0">
      <text>
        <r>
          <rPr>
            <b/>
            <sz val="9"/>
            <rFont val="ＭＳ Ｐゴシック"/>
            <family val="3"/>
          </rPr>
          <t>Inner Product 
-0.5</t>
        </r>
      </text>
    </comment>
    <comment ref="T6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U6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Length TB (J) with K, L and angle A</t>
        </r>
      </text>
    </comment>
    <comment ref="T7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T8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Q13" authorId="1">
      <text>
        <r>
          <rPr>
            <sz val="12"/>
            <rFont val="ＭＳ Ｐゴシック"/>
            <family val="3"/>
          </rPr>
          <t>Click A</t>
        </r>
      </text>
    </comment>
  </commentList>
</comments>
</file>

<file path=xl/comments5.xml><?xml version="1.0" encoding="utf-8"?>
<comments xmlns="http://schemas.openxmlformats.org/spreadsheetml/2006/main">
  <authors>
    <author> Matsuoka</author>
    <author> </author>
  </authors>
  <commentList>
    <comment ref="E29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E43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F43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Length TB (J) with K, L and angle A</t>
        </r>
      </text>
    </comment>
    <comment ref="E44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E45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B50" authorId="1">
      <text>
        <r>
          <rPr>
            <sz val="12"/>
            <rFont val="ＭＳ Ｐゴシック"/>
            <family val="3"/>
          </rPr>
          <t>Click A</t>
        </r>
      </text>
    </comment>
    <comment ref="E62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E63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E64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E81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E82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E83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C24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Cell "x"</t>
        </r>
      </text>
    </comment>
    <comment ref="C25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Cell "y"</t>
        </r>
      </text>
    </comment>
    <comment ref="Q52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Cell "x"</t>
        </r>
      </text>
    </comment>
    <comment ref="R52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Cell "y"</t>
        </r>
      </text>
    </comment>
    <comment ref="N6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N7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N8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K13" authorId="1">
      <text>
        <r>
          <rPr>
            <sz val="12"/>
            <rFont val="ＭＳ Ｐゴシック"/>
            <family val="3"/>
          </rPr>
          <t>Click A</t>
        </r>
      </text>
    </comment>
    <comment ref="O6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Length TB (J) with K, L and angle A</t>
        </r>
      </text>
    </comment>
    <comment ref="J16" authorId="0">
      <text>
        <r>
          <rPr>
            <b/>
            <sz val="9"/>
            <rFont val="ＭＳ Ｐゴシック"/>
            <family val="3"/>
          </rPr>
          <t>Inner Product 
-0.5</t>
        </r>
      </text>
    </comment>
    <comment ref="T6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A=90 degrees</t>
        </r>
      </text>
    </comment>
    <comment ref="U6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Length TB (J) with K, L and angle A</t>
        </r>
      </text>
    </comment>
    <comment ref="T7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B=90 degrees</t>
        </r>
      </text>
    </comment>
    <comment ref="T8" authorId="0">
      <text>
        <r>
          <rPr>
            <b/>
            <sz val="9"/>
            <rFont val="ＭＳ Ｐゴシック"/>
            <family val="3"/>
          </rPr>
          <t xml:space="preserve"> Matsuoka:</t>
        </r>
        <r>
          <rPr>
            <sz val="9"/>
            <rFont val="ＭＳ Ｐゴシック"/>
            <family val="3"/>
          </rPr>
          <t xml:space="preserve">
If T=90 degrees</t>
        </r>
      </text>
    </comment>
    <comment ref="Q13" authorId="1">
      <text>
        <r>
          <rPr>
            <sz val="12"/>
            <rFont val="ＭＳ Ｐゴシック"/>
            <family val="3"/>
          </rPr>
          <t>Click A</t>
        </r>
      </text>
    </comment>
  </commentList>
</comments>
</file>

<file path=xl/sharedStrings.xml><?xml version="1.0" encoding="utf-8"?>
<sst xmlns="http://schemas.openxmlformats.org/spreadsheetml/2006/main" count="647" uniqueCount="367">
  <si>
    <t>cos</t>
  </si>
  <si>
    <t>sin</t>
  </si>
  <si>
    <t>tan</t>
  </si>
  <si>
    <t>sin(A)</t>
  </si>
  <si>
    <t>sin(B)</t>
  </si>
  <si>
    <t>cos(A)</t>
  </si>
  <si>
    <t>cos(B)</t>
  </si>
  <si>
    <t>A</t>
  </si>
  <si>
    <t>B</t>
  </si>
  <si>
    <t>(degrees)</t>
  </si>
  <si>
    <t>type</t>
  </si>
  <si>
    <t>sin(3*A)</t>
  </si>
  <si>
    <t>tan(A)</t>
  </si>
  <si>
    <t>tan(B)</t>
  </si>
  <si>
    <t>Excel Calendar</t>
  </si>
  <si>
    <t>sin(60degrees)-sin(30degrees) - Google Search</t>
  </si>
  <si>
    <t>Trigonometry of right triangles</t>
  </si>
  <si>
    <t>sin(A + B)</t>
  </si>
  <si>
    <t>sin(A - B)</t>
  </si>
  <si>
    <t>cos(A + B)</t>
  </si>
  <si>
    <t>cos(A - B)</t>
  </si>
  <si>
    <t>tan(A + B)</t>
  </si>
  <si>
    <t>tan(A - B)</t>
  </si>
  <si>
    <t>sin(A) + sin(B)</t>
  </si>
  <si>
    <t>sin(A) - sin(B)</t>
  </si>
  <si>
    <t>cos(A) + cos(B)</t>
  </si>
  <si>
    <t>cos(A) - cos(B)</t>
  </si>
  <si>
    <t>sin(A) * cos(B)</t>
  </si>
  <si>
    <t>cos(A) * sin(B)</t>
  </si>
  <si>
    <t>cos(A) * cos(B)</t>
  </si>
  <si>
    <t>sin(A) * sin(B)</t>
  </si>
  <si>
    <t>sin(A/2)</t>
  </si>
  <si>
    <t>sin(2*A)</t>
  </si>
  <si>
    <t>cos(A/2)</t>
  </si>
  <si>
    <t>cos(2*A)</t>
  </si>
  <si>
    <t>cos(3*A)</t>
  </si>
  <si>
    <t>tan(A/2)</t>
  </si>
  <si>
    <t>tan(2*A)</t>
  </si>
  <si>
    <r>
      <t xml:space="preserve">sin(A)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sin</t>
    </r>
    <r>
      <rPr>
        <sz val="11"/>
        <rFont val="ＭＳ Ｐゴシック"/>
        <family val="0"/>
      </rPr>
      <t>(B)</t>
    </r>
  </si>
  <si>
    <r>
      <t xml:space="preserve">cos(A)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cos</t>
    </r>
    <r>
      <rPr>
        <sz val="11"/>
        <rFont val="ＭＳ Ｐゴシック"/>
        <family val="0"/>
      </rPr>
      <t>(B)</t>
    </r>
  </si>
  <si>
    <r>
      <t>tan</t>
    </r>
    <r>
      <rPr>
        <sz val="11"/>
        <rFont val="ＭＳ Ｐゴシック"/>
        <family val="0"/>
      </rPr>
      <t xml:space="preserve">(A)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(B)</t>
    </r>
  </si>
  <si>
    <r>
      <t>(sin(A/2)</t>
    </r>
    <r>
      <rPr>
        <sz val="11"/>
        <rFont val="ＭＳ Ｐゴシック"/>
        <family val="0"/>
      </rPr>
      <t>)^2</t>
    </r>
  </si>
  <si>
    <r>
      <t>(cos(A/2)</t>
    </r>
    <r>
      <rPr>
        <sz val="11"/>
        <rFont val="ＭＳ Ｐゴシック"/>
        <family val="0"/>
      </rPr>
      <t>)^2</t>
    </r>
  </si>
  <si>
    <r>
      <t>(sin(A)</t>
    </r>
    <r>
      <rPr>
        <sz val="11"/>
        <rFont val="ＭＳ Ｐゴシック"/>
        <family val="0"/>
      </rPr>
      <t>)^2</t>
    </r>
  </si>
  <si>
    <r>
      <t>(cos(A)</t>
    </r>
    <r>
      <rPr>
        <sz val="11"/>
        <rFont val="ＭＳ Ｐゴシック"/>
        <family val="0"/>
      </rPr>
      <t>)^2</t>
    </r>
  </si>
  <si>
    <r>
      <t>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</si>
  <si>
    <r>
      <t>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</si>
  <si>
    <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</si>
  <si>
    <r>
      <t>sin(2*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</si>
  <si>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cos(2*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</si>
  <si>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tan(2*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</si>
  <si>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sin(3*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</si>
  <si>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cos(3*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</si>
  <si>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(sin(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</si>
  <si>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>(cos(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</si>
  <si>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>(sin(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</si>
  <si>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(cos(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</si>
  <si>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 xml:space="preserve">(sin(A/2))^2 + </t>
    </r>
    <r>
      <rPr>
        <sz val="11"/>
        <rFont val="ＭＳ Ｐゴシック"/>
        <family val="0"/>
      </rPr>
      <t>(cos(A/2)</t>
    </r>
    <r>
      <rPr>
        <sz val="11"/>
        <rFont val="ＭＳ Ｐゴシック"/>
        <family val="0"/>
      </rPr>
      <t>)^2</t>
    </r>
  </si>
  <si>
    <r>
      <t xml:space="preserve">(sin(A))^2 + </t>
    </r>
    <r>
      <rPr>
        <sz val="11"/>
        <rFont val="ＭＳ Ｐゴシック"/>
        <family val="0"/>
      </rPr>
      <t>(cos(A)</t>
    </r>
    <r>
      <rPr>
        <sz val="11"/>
        <rFont val="ＭＳ Ｐゴシック"/>
        <family val="0"/>
      </rPr>
      <t>)^2</t>
    </r>
  </si>
  <si>
    <r>
      <t xml:space="preserve">(sin(B/2))^2 + </t>
    </r>
    <r>
      <rPr>
        <sz val="11"/>
        <rFont val="ＭＳ Ｐゴシック"/>
        <family val="0"/>
      </rPr>
      <t>(cos(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</si>
  <si>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 xml:space="preserve">(sin(B))^2 + </t>
    </r>
    <r>
      <rPr>
        <sz val="11"/>
        <rFont val="ＭＳ Ｐゴシック"/>
        <family val="0"/>
      </rPr>
      <t>(cos(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</si>
  <si>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t>*</t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</si>
  <si>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sin(A)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</si>
  <si>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cos(A)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</si>
  <si>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tan(A)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</si>
  <si>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sin(A)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</si>
  <si>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cos(A)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</si>
  <si>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tan(A)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</si>
  <si>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</si>
  <si>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</si>
  <si>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</si>
  <si>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</si>
  <si>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</si>
  <si>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)^2)</t>
    </r>
  </si>
  <si>
    <t>*</t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</si>
  <si>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(A/2)</t>
    </r>
    <r>
      <rPr>
        <sz val="11"/>
        <rFont val="ＭＳ Ｐゴシック"/>
        <family val="0"/>
      </rPr>
      <t>)^2</t>
    </r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</si>
  <si>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(A)</t>
    </r>
    <r>
      <rPr>
        <sz val="11"/>
        <rFont val="ＭＳ Ｐゴシック"/>
        <family val="0"/>
      </rPr>
      <t>)^2</t>
    </r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</si>
  <si>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</si>
  <si>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</si>
  <si>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tan(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*A)</t>
    </r>
  </si>
  <si>
    <r>
      <t>tan(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</si>
  <si>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 xml:space="preserve">1/tan(A) +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</si>
  <si>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 xml:space="preserve">1/(tan(A))^2 +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</si>
  <si>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 xml:space="preserve">(tan(A))^2 + 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</si>
  <si>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t</t>
    </r>
    <r>
      <rPr>
        <sz val="11"/>
        <rFont val="ＭＳ Ｐゴシック"/>
        <family val="0"/>
      </rPr>
      <t>an</t>
    </r>
    <r>
      <rPr>
        <sz val="11"/>
        <rFont val="ＭＳ Ｐゴシック"/>
        <family val="0"/>
      </rPr>
      <t xml:space="preserve">(A) - 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(B)</t>
    </r>
  </si>
  <si>
    <r>
      <t>t</t>
    </r>
    <r>
      <rPr>
        <sz val="11"/>
        <rFont val="ＭＳ Ｐゴシック"/>
        <family val="0"/>
      </rPr>
      <t>an</t>
    </r>
    <r>
      <rPr>
        <sz val="11"/>
        <rFont val="ＭＳ Ｐゴシック"/>
        <family val="0"/>
      </rPr>
      <t xml:space="preserve">(A) </t>
    </r>
    <r>
      <rPr>
        <sz val="11"/>
        <rFont val="ＭＳ Ｐゴシック"/>
        <family val="0"/>
      </rPr>
      <t>+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(B)</t>
    </r>
  </si>
  <si>
    <r>
      <t>t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 xml:space="preserve">n(A) * </t>
    </r>
    <r>
      <rPr>
        <sz val="11"/>
        <rFont val="ＭＳ Ｐゴシック"/>
        <family val="0"/>
      </rPr>
      <t>ta</t>
    </r>
    <r>
      <rPr>
        <sz val="11"/>
        <rFont val="ＭＳ Ｐゴシック"/>
        <family val="0"/>
      </rPr>
      <t>n(B)</t>
    </r>
  </si>
  <si>
    <r>
      <t>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 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>)</t>
    </r>
  </si>
  <si>
    <t>tan(A)/tan(B) + tan(B)/tan(A)</t>
  </si>
  <si>
    <r>
      <t>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sin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>)</t>
    </r>
  </si>
  <si>
    <r>
      <t>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cos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>)</t>
    </r>
  </si>
  <si>
    <r>
      <t>sin(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cos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>)</t>
    </r>
  </si>
  <si>
    <r>
      <t>sin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cos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</si>
  <si>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(A/2)</t>
    </r>
    <r>
      <rPr>
        <sz val="11"/>
        <rFont val="ＭＳ Ｐゴシック"/>
        <family val="0"/>
      </rPr>
      <t xml:space="preserve"> / cos(A/2)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</si>
  <si>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(2</t>
    </r>
    <r>
      <rPr>
        <sz val="11"/>
        <rFont val="ＭＳ Ｐゴシック"/>
        <family val="0"/>
      </rPr>
      <t>*A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cos(2*A)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</si>
  <si>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3*A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cos(3*A)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</si>
  <si>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 xml:space="preserve"> / cos(B/2)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</si>
  <si>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(2</t>
    </r>
    <r>
      <rPr>
        <sz val="11"/>
        <rFont val="ＭＳ Ｐゴシック"/>
        <family val="0"/>
      </rPr>
      <t>*B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cos(2*B)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</si>
  <si>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3*B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cos(3*B)</t>
    </r>
  </si>
  <si>
    <t>Google &amp; Excel</t>
  </si>
  <si>
    <t>degrees</t>
  </si>
  <si>
    <t>sin</t>
  </si>
  <si>
    <t>cos</t>
  </si>
  <si>
    <t>tan</t>
  </si>
  <si>
    <t>type</t>
  </si>
  <si>
    <t xml:space="preserve">a   ('D')  </t>
  </si>
  <si>
    <t xml:space="preserve">b   ('E')  </t>
  </si>
  <si>
    <t xml:space="preserve">c   ('F')  </t>
  </si>
  <si>
    <t>A + B + T = Pi</t>
  </si>
  <si>
    <t xml:space="preserve">   b ('E')</t>
  </si>
  <si>
    <t xml:space="preserve">a ('D')  </t>
  </si>
  <si>
    <t>if b=c=1</t>
  </si>
  <si>
    <t>degrees</t>
  </si>
  <si>
    <t>cos(A)</t>
  </si>
  <si>
    <t>c ('F')</t>
  </si>
  <si>
    <t>cos(B)</t>
  </si>
  <si>
    <t>cos(T)</t>
  </si>
  <si>
    <t>A</t>
  </si>
  <si>
    <t>sin(A)</t>
  </si>
  <si>
    <t>tan(A)</t>
  </si>
  <si>
    <r>
      <t>sin(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cos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>)</t>
    </r>
  </si>
  <si>
    <t>B</t>
  </si>
  <si>
    <t>sin(B)</t>
  </si>
  <si>
    <t>tan(B)</t>
  </si>
  <si>
    <r>
      <t>sin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cos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</si>
  <si>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t>T</t>
  </si>
  <si>
    <r>
      <t>sin(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</si>
  <si>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cos(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</si>
  <si>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tan(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</si>
  <si>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sin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cos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</si>
  <si>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t>(degrees)</t>
  </si>
  <si>
    <r>
      <t>sin(A + B</t>
    </r>
    <r>
      <rPr>
        <sz val="11"/>
        <rFont val="ＭＳ Ｐゴシック"/>
        <family val="0"/>
      </rPr>
      <t xml:space="preserve"> + T</t>
    </r>
    <r>
      <rPr>
        <sz val="11"/>
        <rFont val="ＭＳ Ｐゴシック"/>
        <family val="0"/>
      </rPr>
      <t>)</t>
    </r>
  </si>
  <si>
    <r>
      <t>cos(A + B</t>
    </r>
    <r>
      <rPr>
        <sz val="11"/>
        <rFont val="ＭＳ Ｐゴシック"/>
        <family val="0"/>
      </rPr>
      <t xml:space="preserve"> + T</t>
    </r>
    <r>
      <rPr>
        <sz val="11"/>
        <rFont val="ＭＳ Ｐゴシック"/>
        <family val="0"/>
      </rPr>
      <t>)</t>
    </r>
  </si>
  <si>
    <r>
      <t>tan(A + B</t>
    </r>
    <r>
      <rPr>
        <sz val="11"/>
        <rFont val="ＭＳ Ｐゴシック"/>
        <family val="0"/>
      </rPr>
      <t xml:space="preserve"> + T</t>
    </r>
    <r>
      <rPr>
        <sz val="11"/>
        <rFont val="ＭＳ Ｐゴシック"/>
        <family val="0"/>
      </rPr>
      <t>)</t>
    </r>
  </si>
  <si>
    <r>
      <t>sin(</t>
    </r>
    <r>
      <rPr>
        <sz val="11"/>
        <rFont val="ＭＳ Ｐゴシック"/>
        <family val="0"/>
      </rPr>
      <t>Pi - (</t>
    </r>
    <r>
      <rPr>
        <sz val="11"/>
        <rFont val="ＭＳ Ｐゴシック"/>
        <family val="0"/>
      </rPr>
      <t xml:space="preserve">A </t>
    </r>
    <r>
      <rPr>
        <sz val="11"/>
        <rFont val="ＭＳ Ｐゴシック"/>
        <family val="0"/>
      </rPr>
      <t>+</t>
    </r>
    <r>
      <rPr>
        <sz val="11"/>
        <rFont val="ＭＳ Ｐゴシック"/>
        <family val="0"/>
      </rPr>
      <t xml:space="preserve"> B)</t>
    </r>
    <r>
      <rPr>
        <sz val="11"/>
        <rFont val="ＭＳ Ｐゴシック"/>
        <family val="0"/>
      </rPr>
      <t>)</t>
    </r>
  </si>
  <si>
    <r>
      <t>cos(</t>
    </r>
    <r>
      <rPr>
        <sz val="11"/>
        <rFont val="ＭＳ Ｐゴシック"/>
        <family val="0"/>
      </rPr>
      <t>Pi - (</t>
    </r>
    <r>
      <rPr>
        <sz val="11"/>
        <rFont val="ＭＳ Ｐゴシック"/>
        <family val="0"/>
      </rPr>
      <t xml:space="preserve">A </t>
    </r>
    <r>
      <rPr>
        <sz val="11"/>
        <rFont val="ＭＳ Ｐゴシック"/>
        <family val="0"/>
      </rPr>
      <t>+</t>
    </r>
    <r>
      <rPr>
        <sz val="11"/>
        <rFont val="ＭＳ Ｐゴシック"/>
        <family val="0"/>
      </rPr>
      <t xml:space="preserve"> B)</t>
    </r>
    <r>
      <rPr>
        <sz val="11"/>
        <rFont val="ＭＳ Ｐゴシック"/>
        <family val="0"/>
      </rPr>
      <t>)</t>
    </r>
  </si>
  <si>
    <r>
      <t>tan(</t>
    </r>
    <r>
      <rPr>
        <sz val="11"/>
        <rFont val="ＭＳ Ｐゴシック"/>
        <family val="0"/>
      </rPr>
      <t>Pi - (</t>
    </r>
    <r>
      <rPr>
        <sz val="11"/>
        <rFont val="ＭＳ Ｐゴシック"/>
        <family val="0"/>
      </rPr>
      <t xml:space="preserve">A </t>
    </r>
    <r>
      <rPr>
        <sz val="11"/>
        <rFont val="ＭＳ Ｐゴシック"/>
        <family val="0"/>
      </rPr>
      <t>+</t>
    </r>
    <r>
      <rPr>
        <sz val="11"/>
        <rFont val="ＭＳ Ｐゴシック"/>
        <family val="0"/>
      </rPr>
      <t xml:space="preserve"> B)</t>
    </r>
  </si>
  <si>
    <r>
      <t>sin(A) + sin(B)</t>
    </r>
    <r>
      <rPr>
        <sz val="11"/>
        <rFont val="ＭＳ Ｐゴシック"/>
        <family val="0"/>
      </rPr>
      <t xml:space="preserve"> + sin(T)</t>
    </r>
  </si>
  <si>
    <t>sin(A) * cos(B)</t>
  </si>
  <si>
    <r>
      <t xml:space="preserve">sin(A)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sin</t>
    </r>
    <r>
      <rPr>
        <sz val="11"/>
        <rFont val="ＭＳ Ｐゴシック"/>
        <family val="0"/>
      </rPr>
      <t>(B)</t>
    </r>
  </si>
  <si>
    <r>
      <t>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sin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>)</t>
    </r>
  </si>
  <si>
    <t>sin(A) - sin(B)</t>
  </si>
  <si>
    <t>cos(A) * sin(B)</t>
  </si>
  <si>
    <r>
      <t xml:space="preserve">cos(A)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cos</t>
    </r>
    <r>
      <rPr>
        <sz val="11"/>
        <rFont val="ＭＳ Ｐゴシック"/>
        <family val="0"/>
      </rPr>
      <t>(B)</t>
    </r>
  </si>
  <si>
    <r>
      <t>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cos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>)</t>
    </r>
  </si>
  <si>
    <r>
      <t>cos(A) + cos(B)</t>
    </r>
    <r>
      <rPr>
        <sz val="11"/>
        <rFont val="ＭＳ Ｐゴシック"/>
        <family val="0"/>
      </rPr>
      <t xml:space="preserve"> + cos(T)</t>
    </r>
  </si>
  <si>
    <r>
      <t>cos(A) * cos(B)</t>
    </r>
    <r>
      <rPr>
        <sz val="11"/>
        <rFont val="ＭＳ Ｐゴシック"/>
        <family val="0"/>
      </rPr>
      <t xml:space="preserve"> * cos(T)</t>
    </r>
  </si>
  <si>
    <r>
      <t>tan</t>
    </r>
    <r>
      <rPr>
        <sz val="11"/>
        <rFont val="ＭＳ Ｐゴシック"/>
        <family val="0"/>
      </rPr>
      <t xml:space="preserve">(A) 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(B)</t>
    </r>
  </si>
  <si>
    <r>
      <t>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/ 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>)</t>
    </r>
  </si>
  <si>
    <t>cos(A) - cos(B)</t>
  </si>
  <si>
    <r>
      <t>sin(A) * sin(B)</t>
    </r>
    <r>
      <rPr>
        <sz val="11"/>
        <rFont val="ＭＳ Ｐゴシック"/>
        <family val="0"/>
      </rPr>
      <t xml:space="preserve"> * sin(T)</t>
    </r>
  </si>
  <si>
    <r>
      <t>t</t>
    </r>
    <r>
      <rPr>
        <sz val="11"/>
        <rFont val="ＭＳ Ｐゴシック"/>
        <family val="0"/>
      </rPr>
      <t>an</t>
    </r>
    <r>
      <rPr>
        <sz val="11"/>
        <rFont val="ＭＳ Ｐゴシック"/>
        <family val="0"/>
      </rPr>
      <t xml:space="preserve">(A) </t>
    </r>
    <r>
      <rPr>
        <sz val="11"/>
        <rFont val="ＭＳ Ｐゴシック"/>
        <family val="0"/>
      </rPr>
      <t>+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(B)</t>
    </r>
    <r>
      <rPr>
        <sz val="11"/>
        <rFont val="ＭＳ Ｐゴシック"/>
        <family val="0"/>
      </rPr>
      <t xml:space="preserve"> + tan(T)</t>
    </r>
  </si>
  <si>
    <r>
      <t>t</t>
    </r>
    <r>
      <rPr>
        <sz val="11"/>
        <rFont val="ＭＳ Ｐゴシック"/>
        <family val="0"/>
      </rPr>
      <t>a</t>
    </r>
    <r>
      <rPr>
        <sz val="11"/>
        <rFont val="ＭＳ Ｐゴシック"/>
        <family val="0"/>
      </rPr>
      <t xml:space="preserve">n(A) * </t>
    </r>
    <r>
      <rPr>
        <sz val="11"/>
        <rFont val="ＭＳ Ｐゴシック"/>
        <family val="0"/>
      </rPr>
      <t>ta</t>
    </r>
    <r>
      <rPr>
        <sz val="11"/>
        <rFont val="ＭＳ Ｐゴシック"/>
        <family val="0"/>
      </rPr>
      <t>n(B)</t>
    </r>
    <r>
      <rPr>
        <sz val="11"/>
        <rFont val="ＭＳ Ｐゴシック"/>
        <family val="0"/>
      </rPr>
      <t xml:space="preserve"> * tan(T)</t>
    </r>
  </si>
  <si>
    <t>tan(A)/tan(B) + tan(B)/tan(A)</t>
  </si>
  <si>
    <r>
      <t>t</t>
    </r>
    <r>
      <rPr>
        <sz val="11"/>
        <rFont val="ＭＳ Ｐゴシック"/>
        <family val="0"/>
      </rPr>
      <t>an</t>
    </r>
    <r>
      <rPr>
        <sz val="11"/>
        <rFont val="ＭＳ Ｐゴシック"/>
        <family val="0"/>
      </rPr>
      <t xml:space="preserve">(A) - 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(B)</t>
    </r>
  </si>
  <si>
    <t>sin(A/2)</t>
  </si>
  <si>
    <t>cos(A/2)</t>
  </si>
  <si>
    <t>tan(A/2)</t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</si>
  <si>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(A/2)</t>
    </r>
    <r>
      <rPr>
        <sz val="11"/>
        <rFont val="ＭＳ Ｐゴシック"/>
        <family val="0"/>
      </rPr>
      <t xml:space="preserve"> / cos(A/2)</t>
    </r>
  </si>
  <si>
    <t>sin(2*A)</t>
  </si>
  <si>
    <t>cos(2*A)</t>
  </si>
  <si>
    <t>tan(2*A)</t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</si>
  <si>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(2</t>
    </r>
    <r>
      <rPr>
        <sz val="11"/>
        <rFont val="ＭＳ Ｐゴシック"/>
        <family val="0"/>
      </rPr>
      <t>*A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cos(2*A)</t>
    </r>
  </si>
  <si>
    <t>cos(3*A)</t>
  </si>
  <si>
    <r>
      <t>tan(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*A)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</si>
  <si>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3*A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cos(3*A)</t>
    </r>
  </si>
  <si>
    <r>
      <t>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</si>
  <si>
    <r>
      <t>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</si>
  <si>
    <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</si>
  <si>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 xml:space="preserve"> / cos(B/2)</t>
    </r>
  </si>
  <si>
    <r>
      <t>sin(2*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</si>
  <si>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cos(2*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</si>
  <si>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tan(2*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</si>
  <si>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(2</t>
    </r>
    <r>
      <rPr>
        <sz val="11"/>
        <rFont val="ＭＳ Ｐゴシック"/>
        <family val="0"/>
      </rPr>
      <t>*B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cos(2*B)</t>
    </r>
  </si>
  <si>
    <r>
      <t>sin(3*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</si>
  <si>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cos(3*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</si>
  <si>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tan(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*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</si>
  <si>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3*B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cos(3*B)</t>
    </r>
  </si>
  <si>
    <r>
      <t>sin(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/2)</t>
    </r>
  </si>
  <si>
    <r>
      <t>cos(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/2)</t>
    </r>
  </si>
  <si>
    <r>
      <t>tan(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/2)</t>
    </r>
  </si>
  <si>
    <r>
      <t>sin(2*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</si>
  <si>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cos(2*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</si>
  <si>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tan(2*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</si>
  <si>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sin(3*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</si>
  <si>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cos(3*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</si>
  <si>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tan(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*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</si>
  <si>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(sin(A/2)</t>
    </r>
    <r>
      <rPr>
        <sz val="11"/>
        <rFont val="ＭＳ Ｐゴシック"/>
        <family val="0"/>
      </rPr>
      <t>)^2</t>
    </r>
  </si>
  <si>
    <r>
      <t>(cos(A/2)</t>
    </r>
    <r>
      <rPr>
        <sz val="11"/>
        <rFont val="ＭＳ Ｐゴシック"/>
        <family val="0"/>
      </rPr>
      <t>)^2</t>
    </r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</si>
  <si>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(A/2)</t>
    </r>
    <r>
      <rPr>
        <sz val="11"/>
        <rFont val="ＭＳ Ｐゴシック"/>
        <family val="0"/>
      </rPr>
      <t>)^2</t>
    </r>
  </si>
  <si>
    <r>
      <t xml:space="preserve">(sin(A/2))^2 + </t>
    </r>
    <r>
      <rPr>
        <sz val="11"/>
        <rFont val="ＭＳ Ｐゴシック"/>
        <family val="0"/>
      </rPr>
      <t>(cos(A/2)</t>
    </r>
    <r>
      <rPr>
        <sz val="11"/>
        <rFont val="ＭＳ Ｐゴシック"/>
        <family val="0"/>
      </rPr>
      <t>)^2</t>
    </r>
  </si>
  <si>
    <r>
      <t>(sin(A)</t>
    </r>
    <r>
      <rPr>
        <sz val="11"/>
        <rFont val="ＭＳ Ｐゴシック"/>
        <family val="0"/>
      </rPr>
      <t>)^2</t>
    </r>
  </si>
  <si>
    <r>
      <t>(cos(A)</t>
    </r>
    <r>
      <rPr>
        <sz val="11"/>
        <rFont val="ＭＳ Ｐゴシック"/>
        <family val="0"/>
      </rPr>
      <t>)^2</t>
    </r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</si>
  <si>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(A)</t>
    </r>
    <r>
      <rPr>
        <sz val="11"/>
        <rFont val="ＭＳ Ｐゴシック"/>
        <family val="0"/>
      </rPr>
      <t>)^2</t>
    </r>
  </si>
  <si>
    <r>
      <t xml:space="preserve">(sin(A))^2 + </t>
    </r>
    <r>
      <rPr>
        <sz val="11"/>
        <rFont val="ＭＳ Ｐゴシック"/>
        <family val="0"/>
      </rPr>
      <t>(cos(A)</t>
    </r>
    <r>
      <rPr>
        <sz val="11"/>
        <rFont val="ＭＳ Ｐゴシック"/>
        <family val="0"/>
      </rPr>
      <t>)^2</t>
    </r>
  </si>
  <si>
    <r>
      <t>(sin(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</si>
  <si>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>(cos(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</si>
  <si>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</si>
  <si>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 xml:space="preserve">(sin(B/2))^2 + </t>
    </r>
    <r>
      <rPr>
        <sz val="11"/>
        <rFont val="ＭＳ Ｐゴシック"/>
        <family val="0"/>
      </rPr>
      <t>(cos(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</si>
  <si>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>(sin(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</si>
  <si>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(cos(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</si>
  <si>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</si>
  <si>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 xml:space="preserve">(sin(B))^2 + </t>
    </r>
    <r>
      <rPr>
        <sz val="11"/>
        <rFont val="ＭＳ Ｐゴシック"/>
        <family val="0"/>
      </rPr>
      <t>(cos(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</si>
  <si>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(sin(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</si>
  <si>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>(cos(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</si>
  <si>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</si>
  <si>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 xml:space="preserve">(sin(T/2))^2 + </t>
    </r>
    <r>
      <rPr>
        <sz val="11"/>
        <rFont val="ＭＳ Ｐゴシック"/>
        <family val="0"/>
      </rPr>
      <t>(cos(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>)^2</t>
    </r>
  </si>
  <si>
    <r>
      <t>(sin(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</si>
  <si>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(cos(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</si>
  <si>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(</t>
    </r>
    <r>
      <rPr>
        <sz val="11"/>
        <rFont val="ＭＳ Ｐゴシック"/>
        <family val="0"/>
      </rPr>
      <t>tan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</si>
  <si>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 xml:space="preserve">(sin(T))^2 + </t>
    </r>
    <r>
      <rPr>
        <sz val="11"/>
        <rFont val="ＭＳ Ｐゴシック"/>
        <family val="0"/>
      </rPr>
      <t>(cos(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</si>
  <si>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 xml:space="preserve">(tan(A))^2 + 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</si>
  <si>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sin(A)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</si>
  <si>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cos(A)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</si>
  <si>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tan(A)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</si>
  <si>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sin(A)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</si>
  <si>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cos(A)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</si>
  <si>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tan(A)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</si>
  <si>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</si>
  <si>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</si>
  <si>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</si>
  <si>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 xml:space="preserve">1/tan(A) +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</si>
  <si>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sin(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)^2)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</si>
  <si>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cos(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</si>
  <si>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</si>
  <si>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 xml:space="preserve">1/(tan(A))^2 +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</si>
  <si>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t>*</t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</si>
  <si>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sin(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</si>
  <si>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cos(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</si>
  <si>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</si>
  <si>
    <r>
      <t xml:space="preserve">1/tan(A) +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+ 1/tan(T)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</si>
  <si>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sin(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)^2)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</si>
  <si>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cos(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</si>
  <si>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</t>
    </r>
  </si>
  <si>
    <r>
      <t xml:space="preserve">1/(tan(A))^2 +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/(</t>
    </r>
    <r>
      <rPr>
        <sz val="11"/>
        <rFont val="ＭＳ Ｐゴシック"/>
        <family val="0"/>
      </rPr>
      <t>tan(</t>
    </r>
    <r>
      <rPr>
        <sz val="11"/>
        <rFont val="ＭＳ Ｐゴシック"/>
        <family val="0"/>
      </rPr>
      <t>B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)^2 + 1/(tan(T))^2</t>
    </r>
  </si>
  <si>
    <t>Length</t>
  </si>
  <si>
    <t xml:space="preserve">a   ('G')  </t>
  </si>
  <si>
    <t xml:space="preserve">b   ('H')  </t>
  </si>
  <si>
    <t xml:space="preserve">c   ('I')  </t>
  </si>
  <si>
    <t xml:space="preserve">a ('G')  </t>
  </si>
  <si>
    <t xml:space="preserve">   b ('H')</t>
  </si>
  <si>
    <t>c ('I')</t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</si>
  <si>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T</t>
    </r>
    <r>
      <rPr>
        <sz val="11"/>
        <rFont val="ＭＳ Ｐゴシック"/>
        <family val="0"/>
      </rPr>
      <t>/2)</t>
    </r>
    <r>
      <rPr>
        <sz val="11"/>
        <rFont val="ＭＳ Ｐゴシック"/>
        <family val="0"/>
      </rPr>
      <t xml:space="preserve"> / cos(T/2)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</si>
  <si>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(2</t>
    </r>
    <r>
      <rPr>
        <sz val="11"/>
        <rFont val="ＭＳ Ｐゴシック"/>
        <family val="0"/>
      </rPr>
      <t>*T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cos(2*T)</t>
    </r>
  </si>
  <si>
    <r>
      <t>s</t>
    </r>
    <r>
      <rPr>
        <sz val="11"/>
        <rFont val="ＭＳ Ｐゴシック"/>
        <family val="0"/>
      </rPr>
      <t>in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3*T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 xml:space="preserve"> / cos(3*T)</t>
    </r>
  </si>
  <si>
    <t>A + B + T = Pi</t>
  </si>
  <si>
    <t>if b=c=1</t>
  </si>
  <si>
    <t>degrees</t>
  </si>
  <si>
    <t>cos(A)</t>
  </si>
  <si>
    <t>cos(B)</t>
  </si>
  <si>
    <t>cos(T)</t>
  </si>
  <si>
    <t>A</t>
  </si>
  <si>
    <t>&lt;Golden Rectangle&gt;</t>
  </si>
  <si>
    <t>Table</t>
  </si>
  <si>
    <t xml:space="preserve">   b ('K')</t>
  </si>
  <si>
    <t>c ('L')</t>
  </si>
  <si>
    <t xml:space="preserve">a   ('J')  </t>
  </si>
  <si>
    <t xml:space="preserve">b   ('K')  </t>
  </si>
  <si>
    <t xml:space="preserve">c   ('L')  </t>
  </si>
  <si>
    <t>D51: Select Angle</t>
  </si>
  <si>
    <t>A + B + T = Pi</t>
  </si>
  <si>
    <t xml:space="preserve">   b ('K')</t>
  </si>
  <si>
    <t>c ('L')</t>
  </si>
  <si>
    <t>degrees</t>
  </si>
  <si>
    <t>A</t>
  </si>
  <si>
    <t>cos(A)</t>
  </si>
  <si>
    <t>cos(B)</t>
  </si>
  <si>
    <t>cos(T)</t>
  </si>
  <si>
    <t>&lt;golden triangle&gt;</t>
  </si>
  <si>
    <t xml:space="preserve">a   ('M')  </t>
  </si>
  <si>
    <t xml:space="preserve">a   ('M')  </t>
  </si>
  <si>
    <t xml:space="preserve">b   ('N')  </t>
  </si>
  <si>
    <t xml:space="preserve">b   ('N')  </t>
  </si>
  <si>
    <t xml:space="preserve">c   ('O')  </t>
  </si>
  <si>
    <t xml:space="preserve">c   ('O')  </t>
  </si>
  <si>
    <t xml:space="preserve">     a ('M')  </t>
  </si>
  <si>
    <t xml:space="preserve">     a ('M')  </t>
  </si>
  <si>
    <t xml:space="preserve">   b ('N')</t>
  </si>
  <si>
    <t xml:space="preserve">   b ('N')</t>
  </si>
  <si>
    <t>c ('O')</t>
  </si>
  <si>
    <t>c ('O')</t>
  </si>
  <si>
    <t xml:space="preserve">a   ('P')  </t>
  </si>
  <si>
    <t xml:space="preserve">a   ('P')  </t>
  </si>
  <si>
    <t xml:space="preserve">b   ('Q')  </t>
  </si>
  <si>
    <t xml:space="preserve">b   ('Q')  </t>
  </si>
  <si>
    <t xml:space="preserve">c   ('S')  </t>
  </si>
  <si>
    <t xml:space="preserve">c   ('S')  </t>
  </si>
  <si>
    <t xml:space="preserve">     a ('P')  </t>
  </si>
  <si>
    <t xml:space="preserve">     a ('P')  </t>
  </si>
  <si>
    <t xml:space="preserve">   b ('Q')</t>
  </si>
  <si>
    <t xml:space="preserve">   b ('Q')</t>
  </si>
  <si>
    <t>c ('S')</t>
  </si>
  <si>
    <t>c ('S')</t>
  </si>
  <si>
    <t>&lt;pentagram&gt;</t>
  </si>
  <si>
    <t>pentagon</t>
  </si>
  <si>
    <t>golden triangle</t>
  </si>
  <si>
    <t>Diameter:</t>
  </si>
  <si>
    <t>sin(A)</t>
  </si>
  <si>
    <t>sin(C)</t>
  </si>
  <si>
    <t>a</t>
  </si>
  <si>
    <r>
      <t xml:space="preserve">     </t>
    </r>
    <r>
      <rPr>
        <sz val="14"/>
        <color indexed="51"/>
        <rFont val="ＭＳ Ｐゴシック"/>
        <family val="3"/>
      </rPr>
      <t>a</t>
    </r>
    <r>
      <rPr>
        <sz val="12"/>
        <color indexed="51"/>
        <rFont val="ＭＳ Ｐゴシック"/>
        <family val="3"/>
      </rPr>
      <t xml:space="preserve"> ('J')  </t>
    </r>
  </si>
  <si>
    <t>K * L * COS(A)</t>
  </si>
  <si>
    <t>degrees</t>
  </si>
  <si>
    <t>T</t>
  </si>
  <si>
    <t>&lt;inner product&gt;</t>
  </si>
  <si>
    <t>COS(A)</t>
  </si>
  <si>
    <t>L*COS(A) ,L*SIN(A)</t>
  </si>
  <si>
    <t>( K*COS(A) , K*SIN(A) )</t>
  </si>
  <si>
    <t>|a|</t>
  </si>
  <si>
    <t>|a|=2*SQRT((2*SIN(B*degrees))^2-(2*SIN(B*degrees)*SIN(B*degrees))^2)</t>
  </si>
  <si>
    <t xml:space="preserve">   =2*SQRT(2*(SIN(B*degrees))^2*(1-COS(A*degrees)))</t>
  </si>
  <si>
    <t>(x , y)</t>
  </si>
  <si>
    <t>x</t>
  </si>
  <si>
    <t>y</t>
  </si>
  <si>
    <t>(</t>
  </si>
  <si>
    <t>)</t>
  </si>
  <si>
    <t>|a|^2</t>
  </si>
  <si>
    <t>Cosine Formula</t>
  </si>
  <si>
    <t>Vector</t>
  </si>
  <si>
    <t>Inner Product -- from Wolfram MathWorld</t>
  </si>
  <si>
    <t>Radius</t>
  </si>
  <si>
    <t>COS( )</t>
  </si>
  <si>
    <t>Hexagon</t>
  </si>
  <si>
    <t>&lt;Hexagon&gt;</t>
  </si>
  <si>
    <t>Hexagon -- from Wolfram MathWorld</t>
  </si>
  <si>
    <t>8 * (sin(30 degrees)^2) * (1 - cos(120 degrees)) = 3</t>
  </si>
  <si>
    <t>Angles</t>
  </si>
  <si>
    <t>b=c</t>
  </si>
  <si>
    <t>Copy B2 to:</t>
  </si>
  <si>
    <t>sum of the internal angles</t>
  </si>
  <si>
    <t>Copy E3 to:</t>
  </si>
  <si>
    <t>Copy E5 to:</t>
  </si>
  <si>
    <t>Procedure:</t>
  </si>
  <si>
    <t>F3</t>
  </si>
  <si>
    <t>Then copy E3 to:</t>
  </si>
  <si>
    <t>F4</t>
  </si>
  <si>
    <t>Then copy E4 to:</t>
  </si>
  <si>
    <t>F5</t>
  </si>
  <si>
    <t>Then copy E5 to:</t>
  </si>
  <si>
    <t>F7</t>
  </si>
  <si>
    <t>C2</t>
  </si>
  <si>
    <t>C3</t>
  </si>
  <si>
    <t>C5</t>
  </si>
  <si>
    <t>C6</t>
  </si>
  <si>
    <t>Then find out</t>
  </si>
  <si>
    <t>Select "120"</t>
  </si>
  <si>
    <t>Select "1.000000"</t>
  </si>
  <si>
    <t>Copy E4 to:</t>
  </si>
  <si>
    <t>Inner Product</t>
  </si>
  <si>
    <t>cos(A)</t>
  </si>
  <si>
    <t>Radius 1</t>
  </si>
  <si>
    <t>&lt;-0.5: The minimum inner product with T, O, B, all on the circle&gt;</t>
  </si>
  <si>
    <t>Dot Product -- from Wolfram MathWorld</t>
  </si>
  <si>
    <t>&lt;4: The maximum inner product with T, O, B, all on the circle&gt;</t>
  </si>
  <si>
    <t>2(K) * cos0deg</t>
  </si>
  <si>
    <t>=2</t>
  </si>
  <si>
    <t>2*2(L)= 4</t>
  </si>
  <si>
    <t/>
  </si>
  <si>
    <t>K * L * COS(A)</t>
  </si>
  <si>
    <t>cos(T)</t>
  </si>
  <si>
    <t>A + B + T = Pi</t>
  </si>
  <si>
    <t>if b=c=1</t>
  </si>
  <si>
    <t>(x , y)</t>
  </si>
  <si>
    <t>(</t>
  </si>
  <si>
    <t xml:space="preserve">   b ('N')</t>
  </si>
  <si>
    <t>&lt;4: Triangles ABP and CDP are similar&gt;</t>
  </si>
  <si>
    <t>**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</si>
</sst>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_ "/>
    <numFmt numFmtId="178" formatCode="0.00_ "/>
    <numFmt numFmtId="179" formatCode="0.0000_ "/>
    <numFmt numFmtId="180" formatCode="0.00000_ "/>
    <numFmt numFmtId="181" formatCode="0_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3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5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color indexed="51"/>
      <name val="ＭＳ Ｐゴシック"/>
      <family val="3"/>
    </font>
    <font>
      <sz val="12"/>
      <color indexed="51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u val="single"/>
      <sz val="14"/>
      <color indexed="52"/>
      <name val="ＭＳ Ｐゴシック"/>
      <family val="3"/>
    </font>
    <font>
      <sz val="14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5" fillId="0" borderId="0" xfId="16" applyAlignment="1" applyProtection="1">
      <alignment horizontal="left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16" applyAlignment="1" applyProtection="1">
      <alignment/>
      <protection hidden="1"/>
    </xf>
    <xf numFmtId="0" fontId="0" fillId="0" borderId="0" xfId="0" applyFont="1" applyAlignment="1" applyProtection="1">
      <alignment horizontal="center"/>
      <protection locked="0"/>
    </xf>
    <xf numFmtId="0" fontId="7" fillId="0" borderId="0" xfId="16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177" fontId="0" fillId="0" borderId="0" xfId="0" applyNumberFormat="1" applyAlignment="1" applyProtection="1">
      <alignment/>
      <protection locked="0"/>
    </xf>
    <xf numFmtId="178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78" fontId="0" fillId="2" borderId="0" xfId="0" applyNumberFormat="1" applyFill="1" applyAlignment="1" applyProtection="1">
      <alignment/>
      <protection/>
    </xf>
    <xf numFmtId="180" fontId="0" fillId="0" borderId="0" xfId="0" applyNumberFormat="1" applyAlignment="1">
      <alignment/>
    </xf>
    <xf numFmtId="180" fontId="0" fillId="3" borderId="0" xfId="0" applyNumberFormat="1" applyFill="1" applyAlignment="1" applyProtection="1">
      <alignment/>
      <protection locked="0"/>
    </xf>
    <xf numFmtId="180" fontId="0" fillId="3" borderId="0" xfId="0" applyNumberFormat="1" applyFill="1" applyAlignment="1" applyProtection="1">
      <alignment/>
      <protection/>
    </xf>
    <xf numFmtId="176" fontId="4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176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0" fillId="0" borderId="0" xfId="16" applyFont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3" borderId="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 vertical="top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176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78" fontId="0" fillId="0" borderId="0" xfId="0" applyNumberFormat="1" applyBorder="1" applyAlignment="1" applyProtection="1">
      <alignment horizontal="left"/>
      <protection/>
    </xf>
    <xf numFmtId="178" fontId="0" fillId="0" borderId="0" xfId="0" applyNumberFormat="1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76" fontId="4" fillId="0" borderId="5" xfId="0" applyNumberFormat="1" applyFont="1" applyBorder="1" applyAlignment="1" applyProtection="1">
      <alignment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7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hidden="1" locked="0"/>
    </xf>
    <xf numFmtId="0" fontId="12" fillId="0" borderId="0" xfId="0" applyFont="1" applyBorder="1" applyAlignment="1">
      <alignment horizontal="left" vertical="top"/>
    </xf>
    <xf numFmtId="0" fontId="13" fillId="0" borderId="0" xfId="16" applyFont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 vertical="top"/>
      <protection/>
    </xf>
    <xf numFmtId="178" fontId="9" fillId="0" borderId="0" xfId="0" applyNumberFormat="1" applyFont="1" applyBorder="1" applyAlignment="1" applyProtection="1">
      <alignment horizontal="left"/>
      <protection/>
    </xf>
    <xf numFmtId="178" fontId="9" fillId="0" borderId="5" xfId="0" applyNumberFormat="1" applyFont="1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0" fillId="3" borderId="0" xfId="0" applyFill="1" applyAlignment="1" applyProtection="1">
      <alignment/>
      <protection hidden="1"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8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3" fillId="0" borderId="5" xfId="16" applyFont="1" applyBorder="1" applyAlignment="1" applyProtection="1">
      <alignment horizontal="center"/>
      <protection/>
    </xf>
    <xf numFmtId="176" fontId="0" fillId="0" borderId="2" xfId="0" applyNumberFormat="1" applyBorder="1" applyAlignment="1" applyProtection="1">
      <alignment/>
      <protection hidden="1"/>
    </xf>
    <xf numFmtId="176" fontId="9" fillId="0" borderId="0" xfId="0" applyNumberFormat="1" applyFont="1" applyBorder="1" applyAlignment="1" applyProtection="1">
      <alignment horizontal="left"/>
      <protection/>
    </xf>
    <xf numFmtId="176" fontId="9" fillId="0" borderId="5" xfId="0" applyNumberFormat="1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176" fontId="0" fillId="0" borderId="2" xfId="0" applyNumberFormat="1" applyBorder="1" applyAlignment="1" applyProtection="1">
      <alignment/>
      <protection/>
    </xf>
    <xf numFmtId="176" fontId="0" fillId="3" borderId="2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left"/>
      <protection/>
    </xf>
    <xf numFmtId="176" fontId="0" fillId="3" borderId="2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3" borderId="0" xfId="0" applyFill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/>
    </xf>
    <xf numFmtId="0" fontId="0" fillId="0" borderId="5" xfId="0" applyNumberFormat="1" applyBorder="1" applyAlignment="1" applyProtection="1">
      <alignment/>
      <protection/>
    </xf>
    <xf numFmtId="0" fontId="13" fillId="0" borderId="0" xfId="16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9" fillId="0" borderId="0" xfId="0" applyFont="1" applyAlignment="1" quotePrefix="1">
      <alignment horizontal="center"/>
    </xf>
    <xf numFmtId="0" fontId="0" fillId="4" borderId="0" xfId="0" applyFill="1" applyAlignment="1">
      <alignment/>
    </xf>
    <xf numFmtId="0" fontId="14" fillId="0" borderId="5" xfId="0" applyFont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7" xfId="0" applyFont="1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3" fillId="0" borderId="0" xfId="16" applyFont="1" applyAlignment="1">
      <alignment/>
    </xf>
    <xf numFmtId="176" fontId="4" fillId="0" borderId="0" xfId="0" applyNumberFormat="1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7" fillId="0" borderId="0" xfId="16" applyFont="1" applyAlignment="1">
      <alignment/>
    </xf>
    <xf numFmtId="0" fontId="10" fillId="0" borderId="0" xfId="16" applyFont="1" applyAlignment="1">
      <alignment/>
    </xf>
    <xf numFmtId="0" fontId="0" fillId="0" borderId="0" xfId="0" applyFont="1" applyAlignment="1">
      <alignment/>
    </xf>
    <xf numFmtId="0" fontId="19" fillId="0" borderId="0" xfId="16" applyFont="1" applyAlignment="1">
      <alignment horizontal="center"/>
    </xf>
    <xf numFmtId="0" fontId="20" fillId="0" borderId="0" xfId="0" applyFont="1" applyAlignment="1">
      <alignment/>
    </xf>
    <xf numFmtId="0" fontId="9" fillId="0" borderId="4" xfId="0" applyFont="1" applyBorder="1" applyAlignment="1" applyProtection="1">
      <alignment horizontal="right"/>
      <protection/>
    </xf>
    <xf numFmtId="0" fontId="21" fillId="0" borderId="4" xfId="0" applyFont="1" applyBorder="1" applyAlignment="1">
      <alignment horizontal="center"/>
    </xf>
    <xf numFmtId="176" fontId="21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 quotePrefix="1">
      <alignment horizontal="center"/>
      <protection/>
    </xf>
    <xf numFmtId="176" fontId="9" fillId="0" borderId="0" xfId="0" applyNumberFormat="1" applyFont="1" applyBorder="1" applyAlignment="1" applyProtection="1">
      <alignment horizontal="right"/>
      <protection/>
    </xf>
    <xf numFmtId="0" fontId="14" fillId="0" borderId="4" xfId="0" applyFont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21" fillId="0" borderId="4" xfId="0" applyFont="1" applyBorder="1" applyAlignment="1" applyProtection="1">
      <alignment horizontal="center"/>
      <protection hidden="1"/>
    </xf>
    <xf numFmtId="0" fontId="21" fillId="0" borderId="4" xfId="0" applyFont="1" applyBorder="1" applyAlignment="1" applyProtection="1" quotePrefix="1">
      <alignment horizontal="center"/>
      <protection hidden="1"/>
    </xf>
    <xf numFmtId="176" fontId="17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16" applyFont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ill>
        <patternFill>
          <bgColor rgb="FF99CC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CCFF"/>
        </patternFill>
      </fill>
      <border/>
    </dxf>
    <dxf>
      <font>
        <color rgb="FFFFFFFF"/>
      </font>
      <border/>
    </dxf>
    <dxf>
      <font>
        <color rgb="FFCCFF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rigonometric Function'!D5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rigonometry ABC'!B35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rigonometric Function'!D51" /><Relationship Id="rId2" Type="http://schemas.openxmlformats.org/officeDocument/2006/relationships/hyperlink" Target="#'Trigonometric Function'!D51" /><Relationship Id="rId3" Type="http://schemas.openxmlformats.org/officeDocument/2006/relationships/hyperlink" Target="#'Trigonometric Function'!D51" /><Relationship Id="rId4" Type="http://schemas.openxmlformats.org/officeDocument/2006/relationships/hyperlink" Target="#'Trigonometric Function'!D51" /><Relationship Id="rId5" Type="http://schemas.openxmlformats.org/officeDocument/2006/relationships/hyperlink" Target="#'Trigonometric Function'!D51" /><Relationship Id="rId6" Type="http://schemas.openxmlformats.org/officeDocument/2006/relationships/hyperlink" Target="#'Trigonometric Function'!D51" /><Relationship Id="rId7" Type="http://schemas.openxmlformats.org/officeDocument/2006/relationships/hyperlink" Target="#'Trigonometric Function'!D51" /><Relationship Id="rId8" Type="http://schemas.openxmlformats.org/officeDocument/2006/relationships/hyperlink" Target="#'Trigonometric Function'!D51" /><Relationship Id="rId9" Type="http://schemas.openxmlformats.org/officeDocument/2006/relationships/hyperlink" Target="#'Trigonometric Function'!D51" /><Relationship Id="rId10" Type="http://schemas.openxmlformats.org/officeDocument/2006/relationships/hyperlink" Target="#'Trigonometric Function'!D51" /><Relationship Id="rId11" Type="http://schemas.openxmlformats.org/officeDocument/2006/relationships/hyperlink" Target="#'Trigonometric Function'!D5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rigonometric Function'!D51" /><Relationship Id="rId2" Type="http://schemas.openxmlformats.org/officeDocument/2006/relationships/hyperlink" Target="#'Trigonometric Function'!D51" /><Relationship Id="rId3" Type="http://schemas.openxmlformats.org/officeDocument/2006/relationships/hyperlink" Target="#'Trigonometric Function'!D51" /><Relationship Id="rId4" Type="http://schemas.openxmlformats.org/officeDocument/2006/relationships/hyperlink" Target="#'Trigonometric Function'!D51" /><Relationship Id="rId5" Type="http://schemas.openxmlformats.org/officeDocument/2006/relationships/hyperlink" Target="#'Trigonometric Function'!D51" /><Relationship Id="rId6" Type="http://schemas.openxmlformats.org/officeDocument/2006/relationships/hyperlink" Target="#'Trigonometric Function'!D51" /><Relationship Id="rId7" Type="http://schemas.openxmlformats.org/officeDocument/2006/relationships/hyperlink" Target="#'Trigonometric Function'!D51" /><Relationship Id="rId8" Type="http://schemas.openxmlformats.org/officeDocument/2006/relationships/hyperlink" Target="#'Trigonometric Function'!D51" /><Relationship Id="rId9" Type="http://schemas.openxmlformats.org/officeDocument/2006/relationships/hyperlink" Target="#'Trigonometric Function'!D51" /><Relationship Id="rId10" Type="http://schemas.openxmlformats.org/officeDocument/2006/relationships/hyperlink" Target="#'Trigonometric Function'!D51" /><Relationship Id="rId11" Type="http://schemas.openxmlformats.org/officeDocument/2006/relationships/hyperlink" Target="#'Trigonometric Function'!D5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76200</xdr:rowOff>
    </xdr:from>
    <xdr:to>
      <xdr:col>7</xdr:col>
      <xdr:colOff>600075</xdr:colOff>
      <xdr:row>10</xdr:row>
      <xdr:rowOff>0</xdr:rowOff>
    </xdr:to>
    <xdr:sp>
      <xdr:nvSpPr>
        <xdr:cNvPr id="1" name="Oval 1"/>
        <xdr:cNvSpPr>
          <a:spLocks/>
        </xdr:cNvSpPr>
      </xdr:nvSpPr>
      <xdr:spPr>
        <a:xfrm>
          <a:off x="6343650" y="590550"/>
          <a:ext cx="1209675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</xdr:row>
      <xdr:rowOff>142875</xdr:rowOff>
    </xdr:from>
    <xdr:to>
      <xdr:col>7</xdr:col>
      <xdr:colOff>428625</xdr:colOff>
      <xdr:row>3</xdr:row>
      <xdr:rowOff>142875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7210425" y="4857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8</xdr:col>
      <xdr:colOff>85725</xdr:colOff>
      <xdr:row>2</xdr:row>
      <xdr:rowOff>104775</xdr:rowOff>
    </xdr:from>
    <xdr:to>
      <xdr:col>8</xdr:col>
      <xdr:colOff>257175</xdr:colOff>
      <xdr:row>3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724775" y="4476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6</xdr:col>
      <xdr:colOff>638175</xdr:colOff>
      <xdr:row>5</xdr:row>
      <xdr:rowOff>76200</xdr:rowOff>
    </xdr:from>
    <xdr:to>
      <xdr:col>7</xdr:col>
      <xdr:colOff>171450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905625" y="933450"/>
          <a:ext cx="219075" cy="2857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6</xdr:col>
      <xdr:colOff>76200</xdr:colOff>
      <xdr:row>4</xdr:row>
      <xdr:rowOff>28575</xdr:rowOff>
    </xdr:from>
    <xdr:to>
      <xdr:col>6</xdr:col>
      <xdr:colOff>323850</xdr:colOff>
      <xdr:row>6</xdr:row>
      <xdr:rowOff>142875</xdr:rowOff>
    </xdr:to>
    <xdr:sp>
      <xdr:nvSpPr>
        <xdr:cNvPr id="5" name="Line 5"/>
        <xdr:cNvSpPr>
          <a:spLocks/>
        </xdr:cNvSpPr>
      </xdr:nvSpPr>
      <xdr:spPr>
        <a:xfrm flipH="1">
          <a:off x="6343650" y="714375"/>
          <a:ext cx="247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142875</xdr:rowOff>
    </xdr:from>
    <xdr:to>
      <xdr:col>6</xdr:col>
      <xdr:colOff>342900</xdr:colOff>
      <xdr:row>9</xdr:row>
      <xdr:rowOff>76200</xdr:rowOff>
    </xdr:to>
    <xdr:sp>
      <xdr:nvSpPr>
        <xdr:cNvPr id="6" name="Line 6"/>
        <xdr:cNvSpPr>
          <a:spLocks/>
        </xdr:cNvSpPr>
      </xdr:nvSpPr>
      <xdr:spPr>
        <a:xfrm>
          <a:off x="6372225" y="1181100"/>
          <a:ext cx="238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6</xdr:row>
      <xdr:rowOff>104775</xdr:rowOff>
    </xdr:from>
    <xdr:to>
      <xdr:col>7</xdr:col>
      <xdr:colOff>600075</xdr:colOff>
      <xdr:row>9</xdr:row>
      <xdr:rowOff>66675</xdr:rowOff>
    </xdr:to>
    <xdr:sp>
      <xdr:nvSpPr>
        <xdr:cNvPr id="7" name="Line 7"/>
        <xdr:cNvSpPr>
          <a:spLocks/>
        </xdr:cNvSpPr>
      </xdr:nvSpPr>
      <xdr:spPr>
        <a:xfrm flipH="1">
          <a:off x="7286625" y="1143000"/>
          <a:ext cx="266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114300</xdr:rowOff>
    </xdr:from>
    <xdr:to>
      <xdr:col>7</xdr:col>
      <xdr:colOff>66675</xdr:colOff>
      <xdr:row>3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48475" y="4572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7</xdr:col>
      <xdr:colOff>447675</xdr:colOff>
      <xdr:row>3</xdr:row>
      <xdr:rowOff>142875</xdr:rowOff>
    </xdr:from>
    <xdr:to>
      <xdr:col>7</xdr:col>
      <xdr:colOff>619125</xdr:colOff>
      <xdr:row>4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400925" y="6572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
B</a:t>
          </a:r>
        </a:p>
      </xdr:txBody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571500</xdr:colOff>
      <xdr:row>6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6600825" y="685800"/>
          <a:ext cx="923925" cy="4762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9</xdr:row>
      <xdr:rowOff>47625</xdr:rowOff>
    </xdr:from>
    <xdr:to>
      <xdr:col>7</xdr:col>
      <xdr:colOff>314325</xdr:colOff>
      <xdr:row>9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6619875" y="161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3</xdr:row>
      <xdr:rowOff>161925</xdr:rowOff>
    </xdr:from>
    <xdr:to>
      <xdr:col>7</xdr:col>
      <xdr:colOff>304800</xdr:colOff>
      <xdr:row>3</xdr:row>
      <xdr:rowOff>161925</xdr:rowOff>
    </xdr:to>
    <xdr:sp>
      <xdr:nvSpPr>
        <xdr:cNvPr id="12" name="Line 12"/>
        <xdr:cNvSpPr>
          <a:spLocks/>
        </xdr:cNvSpPr>
      </xdr:nvSpPr>
      <xdr:spPr>
        <a:xfrm flipH="1" flipV="1">
          <a:off x="6610350" y="676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</xdr:row>
      <xdr:rowOff>0</xdr:rowOff>
    </xdr:from>
    <xdr:to>
      <xdr:col>7</xdr:col>
      <xdr:colOff>581025</xdr:colOff>
      <xdr:row>6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7267575" y="685800"/>
          <a:ext cx="266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23</xdr:row>
      <xdr:rowOff>28575</xdr:rowOff>
    </xdr:from>
    <xdr:to>
      <xdr:col>7</xdr:col>
      <xdr:colOff>219075</xdr:colOff>
      <xdr:row>24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67425" y="39909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7</xdr:col>
      <xdr:colOff>142875</xdr:colOff>
      <xdr:row>22</xdr:row>
      <xdr:rowOff>142875</xdr:rowOff>
    </xdr:from>
    <xdr:to>
      <xdr:col>7</xdr:col>
      <xdr:colOff>485775</xdr:colOff>
      <xdr:row>26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6162675" y="3933825"/>
          <a:ext cx="342900" cy="69532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26</xdr:row>
      <xdr:rowOff>152400</xdr:rowOff>
    </xdr:from>
    <xdr:to>
      <xdr:col>7</xdr:col>
      <xdr:colOff>485775</xdr:colOff>
      <xdr:row>26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5238750" y="46291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25</xdr:row>
      <xdr:rowOff>142875</xdr:rowOff>
    </xdr:from>
    <xdr:to>
      <xdr:col>7</xdr:col>
      <xdr:colOff>409575</xdr:colOff>
      <xdr:row>26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257925" y="44481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6</xdr:col>
      <xdr:colOff>276225</xdr:colOff>
      <xdr:row>25</xdr:row>
      <xdr:rowOff>123825</xdr:rowOff>
    </xdr:from>
    <xdr:to>
      <xdr:col>6</xdr:col>
      <xdr:colOff>447675</xdr:colOff>
      <xdr:row>26</xdr:row>
      <xdr:rowOff>114300</xdr:rowOff>
    </xdr:to>
    <xdr:sp>
      <xdr:nvSpPr>
        <xdr:cNvPr id="5" name="TextBox 5">
          <a:hlinkClick r:id="rId1"/>
        </xdr:cNvPr>
        <xdr:cNvSpPr txBox="1">
          <a:spLocks noChangeArrowheads="1"/>
        </xdr:cNvSpPr>
      </xdr:nvSpPr>
      <xdr:spPr>
        <a:xfrm>
          <a:off x="5476875" y="44291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6</xdr:col>
      <xdr:colOff>0</xdr:colOff>
      <xdr:row>26</xdr:row>
      <xdr:rowOff>161925</xdr:rowOff>
    </xdr:from>
    <xdr:to>
      <xdr:col>6</xdr:col>
      <xdr:colOff>171450</xdr:colOff>
      <xdr:row>27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00650" y="46386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6</xdr:col>
      <xdr:colOff>47625</xdr:colOff>
      <xdr:row>22</xdr:row>
      <xdr:rowOff>114300</xdr:rowOff>
    </xdr:from>
    <xdr:to>
      <xdr:col>7</xdr:col>
      <xdr:colOff>142875</xdr:colOff>
      <xdr:row>26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5248275" y="3905250"/>
          <a:ext cx="9144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45</xdr:row>
      <xdr:rowOff>76200</xdr:rowOff>
    </xdr:from>
    <xdr:to>
      <xdr:col>7</xdr:col>
      <xdr:colOff>600075</xdr:colOff>
      <xdr:row>52</xdr:row>
      <xdr:rowOff>0</xdr:rowOff>
    </xdr:to>
    <xdr:sp>
      <xdr:nvSpPr>
        <xdr:cNvPr id="1" name="Oval 109"/>
        <xdr:cNvSpPr>
          <a:spLocks/>
        </xdr:cNvSpPr>
      </xdr:nvSpPr>
      <xdr:spPr>
        <a:xfrm>
          <a:off x="5486400" y="5391150"/>
          <a:ext cx="1371600" cy="1190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31</xdr:row>
      <xdr:rowOff>28575</xdr:rowOff>
    </xdr:from>
    <xdr:to>
      <xdr:col>3</xdr:col>
      <xdr:colOff>219075</xdr:colOff>
      <xdr:row>32</xdr:row>
      <xdr:rowOff>19050</xdr:rowOff>
    </xdr:to>
    <xdr:sp>
      <xdr:nvSpPr>
        <xdr:cNvPr id="2" name="TextBox 33"/>
        <xdr:cNvSpPr txBox="1">
          <a:spLocks noChangeArrowheads="1"/>
        </xdr:cNvSpPr>
      </xdr:nvSpPr>
      <xdr:spPr>
        <a:xfrm>
          <a:off x="3009900" y="4781550"/>
          <a:ext cx="1714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3</xdr:col>
      <xdr:colOff>142875</xdr:colOff>
      <xdr:row>30</xdr:row>
      <xdr:rowOff>142875</xdr:rowOff>
    </xdr:from>
    <xdr:to>
      <xdr:col>3</xdr:col>
      <xdr:colOff>485775</xdr:colOff>
      <xdr:row>34</xdr:row>
      <xdr:rowOff>152400</xdr:rowOff>
    </xdr:to>
    <xdr:sp>
      <xdr:nvSpPr>
        <xdr:cNvPr id="3" name="Line 34"/>
        <xdr:cNvSpPr>
          <a:spLocks/>
        </xdr:cNvSpPr>
      </xdr:nvSpPr>
      <xdr:spPr>
        <a:xfrm>
          <a:off x="3105150" y="4781550"/>
          <a:ext cx="342900" cy="0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152400</xdr:rowOff>
    </xdr:from>
    <xdr:to>
      <xdr:col>3</xdr:col>
      <xdr:colOff>485775</xdr:colOff>
      <xdr:row>34</xdr:row>
      <xdr:rowOff>152400</xdr:rowOff>
    </xdr:to>
    <xdr:sp>
      <xdr:nvSpPr>
        <xdr:cNvPr id="4" name="Line 35"/>
        <xdr:cNvSpPr>
          <a:spLocks/>
        </xdr:cNvSpPr>
      </xdr:nvSpPr>
      <xdr:spPr>
        <a:xfrm>
          <a:off x="2181225" y="47815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152400</xdr:rowOff>
    </xdr:from>
    <xdr:to>
      <xdr:col>3</xdr:col>
      <xdr:colOff>438150</xdr:colOff>
      <xdr:row>34</xdr:row>
      <xdr:rowOff>142875</xdr:rowOff>
    </xdr:to>
    <xdr:sp>
      <xdr:nvSpPr>
        <xdr:cNvPr id="5" name="TextBox 36"/>
        <xdr:cNvSpPr txBox="1">
          <a:spLocks noChangeArrowheads="1"/>
        </xdr:cNvSpPr>
      </xdr:nvSpPr>
      <xdr:spPr>
        <a:xfrm>
          <a:off x="3228975" y="4781550"/>
          <a:ext cx="1714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2</xdr:col>
      <xdr:colOff>276225</xdr:colOff>
      <xdr:row>33</xdr:row>
      <xdr:rowOff>123825</xdr:rowOff>
    </xdr:from>
    <xdr:to>
      <xdr:col>2</xdr:col>
      <xdr:colOff>447675</xdr:colOff>
      <xdr:row>34</xdr:row>
      <xdr:rowOff>114300</xdr:rowOff>
    </xdr:to>
    <xdr:sp>
      <xdr:nvSpPr>
        <xdr:cNvPr id="6" name="TextBox 37"/>
        <xdr:cNvSpPr txBox="1">
          <a:spLocks noChangeArrowheads="1"/>
        </xdr:cNvSpPr>
      </xdr:nvSpPr>
      <xdr:spPr>
        <a:xfrm>
          <a:off x="2419350" y="4781550"/>
          <a:ext cx="1714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2</xdr:col>
      <xdr:colOff>0</xdr:colOff>
      <xdr:row>34</xdr:row>
      <xdr:rowOff>161925</xdr:rowOff>
    </xdr:from>
    <xdr:to>
      <xdr:col>2</xdr:col>
      <xdr:colOff>171450</xdr:colOff>
      <xdr:row>35</xdr:row>
      <xdr:rowOff>152400</xdr:rowOff>
    </xdr:to>
    <xdr:sp>
      <xdr:nvSpPr>
        <xdr:cNvPr id="7" name="TextBox 38"/>
        <xdr:cNvSpPr txBox="1">
          <a:spLocks noChangeArrowheads="1"/>
        </xdr:cNvSpPr>
      </xdr:nvSpPr>
      <xdr:spPr>
        <a:xfrm>
          <a:off x="2143125" y="4781550"/>
          <a:ext cx="1714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2</xdr:col>
      <xdr:colOff>47625</xdr:colOff>
      <xdr:row>30</xdr:row>
      <xdr:rowOff>114300</xdr:rowOff>
    </xdr:from>
    <xdr:to>
      <xdr:col>3</xdr:col>
      <xdr:colOff>142875</xdr:colOff>
      <xdr:row>34</xdr:row>
      <xdr:rowOff>142875</xdr:rowOff>
    </xdr:to>
    <xdr:sp>
      <xdr:nvSpPr>
        <xdr:cNvPr id="8" name="Line 39"/>
        <xdr:cNvSpPr>
          <a:spLocks/>
        </xdr:cNvSpPr>
      </xdr:nvSpPr>
      <xdr:spPr>
        <a:xfrm flipV="1">
          <a:off x="2190750" y="4781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28575</xdr:rowOff>
    </xdr:from>
    <xdr:to>
      <xdr:col>3</xdr:col>
      <xdr:colOff>219075</xdr:colOff>
      <xdr:row>47</xdr:row>
      <xdr:rowOff>19050</xdr:rowOff>
    </xdr:to>
    <xdr:sp>
      <xdr:nvSpPr>
        <xdr:cNvPr id="9" name="TextBox 43"/>
        <xdr:cNvSpPr txBox="1">
          <a:spLocks noChangeArrowheads="1"/>
        </xdr:cNvSpPr>
      </xdr:nvSpPr>
      <xdr:spPr>
        <a:xfrm>
          <a:off x="3009900" y="55149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3</xdr:col>
      <xdr:colOff>142875</xdr:colOff>
      <xdr:row>45</xdr:row>
      <xdr:rowOff>142875</xdr:rowOff>
    </xdr:from>
    <xdr:to>
      <xdr:col>3</xdr:col>
      <xdr:colOff>485775</xdr:colOff>
      <xdr:row>49</xdr:row>
      <xdr:rowOff>152400</xdr:rowOff>
    </xdr:to>
    <xdr:sp>
      <xdr:nvSpPr>
        <xdr:cNvPr id="10" name="Line 44"/>
        <xdr:cNvSpPr>
          <a:spLocks/>
        </xdr:cNvSpPr>
      </xdr:nvSpPr>
      <xdr:spPr>
        <a:xfrm>
          <a:off x="3105150" y="5457825"/>
          <a:ext cx="342900" cy="7524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152400</xdr:rowOff>
    </xdr:from>
    <xdr:to>
      <xdr:col>3</xdr:col>
      <xdr:colOff>485775</xdr:colOff>
      <xdr:row>49</xdr:row>
      <xdr:rowOff>152400</xdr:rowOff>
    </xdr:to>
    <xdr:sp>
      <xdr:nvSpPr>
        <xdr:cNvPr id="11" name="Line 45"/>
        <xdr:cNvSpPr>
          <a:spLocks/>
        </xdr:cNvSpPr>
      </xdr:nvSpPr>
      <xdr:spPr>
        <a:xfrm>
          <a:off x="2181225" y="62103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48</xdr:row>
      <xdr:rowOff>142875</xdr:rowOff>
    </xdr:from>
    <xdr:to>
      <xdr:col>3</xdr:col>
      <xdr:colOff>371475</xdr:colOff>
      <xdr:row>49</xdr:row>
      <xdr:rowOff>133350</xdr:rowOff>
    </xdr:to>
    <xdr:sp>
      <xdr:nvSpPr>
        <xdr:cNvPr id="12" name="TextBox 46"/>
        <xdr:cNvSpPr txBox="1">
          <a:spLocks noChangeArrowheads="1"/>
        </xdr:cNvSpPr>
      </xdr:nvSpPr>
      <xdr:spPr>
        <a:xfrm>
          <a:off x="3162300" y="60198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2</xdr:col>
      <xdr:colOff>276225</xdr:colOff>
      <xdr:row>48</xdr:row>
      <xdr:rowOff>123825</xdr:rowOff>
    </xdr:from>
    <xdr:to>
      <xdr:col>2</xdr:col>
      <xdr:colOff>447675</xdr:colOff>
      <xdr:row>49</xdr:row>
      <xdr:rowOff>114300</xdr:rowOff>
    </xdr:to>
    <xdr:sp>
      <xdr:nvSpPr>
        <xdr:cNvPr id="13" name="TextBox 47">
          <a:hlinkClick r:id="rId1"/>
        </xdr:cNvPr>
        <xdr:cNvSpPr txBox="1">
          <a:spLocks noChangeArrowheads="1"/>
        </xdr:cNvSpPr>
      </xdr:nvSpPr>
      <xdr:spPr>
        <a:xfrm>
          <a:off x="2419350" y="60007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2</xdr:col>
      <xdr:colOff>0</xdr:colOff>
      <xdr:row>49</xdr:row>
      <xdr:rowOff>161925</xdr:rowOff>
    </xdr:from>
    <xdr:to>
      <xdr:col>2</xdr:col>
      <xdr:colOff>171450</xdr:colOff>
      <xdr:row>50</xdr:row>
      <xdr:rowOff>152400</xdr:rowOff>
    </xdr:to>
    <xdr:sp>
      <xdr:nvSpPr>
        <xdr:cNvPr id="14" name="TextBox 48"/>
        <xdr:cNvSpPr txBox="1">
          <a:spLocks noChangeArrowheads="1"/>
        </xdr:cNvSpPr>
      </xdr:nvSpPr>
      <xdr:spPr>
        <a:xfrm>
          <a:off x="2143125" y="62198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2</xdr:col>
      <xdr:colOff>47625</xdr:colOff>
      <xdr:row>45</xdr:row>
      <xdr:rowOff>114300</xdr:rowOff>
    </xdr:from>
    <xdr:to>
      <xdr:col>3</xdr:col>
      <xdr:colOff>142875</xdr:colOff>
      <xdr:row>49</xdr:row>
      <xdr:rowOff>142875</xdr:rowOff>
    </xdr:to>
    <xdr:sp>
      <xdr:nvSpPr>
        <xdr:cNvPr id="15" name="Line 49"/>
        <xdr:cNvSpPr>
          <a:spLocks/>
        </xdr:cNvSpPr>
      </xdr:nvSpPr>
      <xdr:spPr>
        <a:xfrm flipV="1">
          <a:off x="2190750" y="5429250"/>
          <a:ext cx="9144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65</xdr:row>
      <xdr:rowOff>28575</xdr:rowOff>
    </xdr:from>
    <xdr:to>
      <xdr:col>3</xdr:col>
      <xdr:colOff>219075</xdr:colOff>
      <xdr:row>66</xdr:row>
      <xdr:rowOff>19050</xdr:rowOff>
    </xdr:to>
    <xdr:sp>
      <xdr:nvSpPr>
        <xdr:cNvPr id="16" name="TextBox 70"/>
        <xdr:cNvSpPr txBox="1">
          <a:spLocks noChangeArrowheads="1"/>
        </xdr:cNvSpPr>
      </xdr:nvSpPr>
      <xdr:spPr>
        <a:xfrm>
          <a:off x="3009900" y="89916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3</xdr:col>
      <xdr:colOff>142875</xdr:colOff>
      <xdr:row>64</xdr:row>
      <xdr:rowOff>142875</xdr:rowOff>
    </xdr:from>
    <xdr:to>
      <xdr:col>3</xdr:col>
      <xdr:colOff>485775</xdr:colOff>
      <xdr:row>68</xdr:row>
      <xdr:rowOff>152400</xdr:rowOff>
    </xdr:to>
    <xdr:sp>
      <xdr:nvSpPr>
        <xdr:cNvPr id="17" name="Line 71"/>
        <xdr:cNvSpPr>
          <a:spLocks/>
        </xdr:cNvSpPr>
      </xdr:nvSpPr>
      <xdr:spPr>
        <a:xfrm>
          <a:off x="3105150" y="8934450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68</xdr:row>
      <xdr:rowOff>152400</xdr:rowOff>
    </xdr:from>
    <xdr:to>
      <xdr:col>3</xdr:col>
      <xdr:colOff>485775</xdr:colOff>
      <xdr:row>68</xdr:row>
      <xdr:rowOff>152400</xdr:rowOff>
    </xdr:to>
    <xdr:sp>
      <xdr:nvSpPr>
        <xdr:cNvPr id="18" name="Line 72"/>
        <xdr:cNvSpPr>
          <a:spLocks/>
        </xdr:cNvSpPr>
      </xdr:nvSpPr>
      <xdr:spPr>
        <a:xfrm>
          <a:off x="2181225" y="96488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67</xdr:row>
      <xdr:rowOff>142875</xdr:rowOff>
    </xdr:from>
    <xdr:to>
      <xdr:col>3</xdr:col>
      <xdr:colOff>371475</xdr:colOff>
      <xdr:row>68</xdr:row>
      <xdr:rowOff>133350</xdr:rowOff>
    </xdr:to>
    <xdr:sp>
      <xdr:nvSpPr>
        <xdr:cNvPr id="19" name="TextBox 73"/>
        <xdr:cNvSpPr txBox="1">
          <a:spLocks noChangeArrowheads="1"/>
        </xdr:cNvSpPr>
      </xdr:nvSpPr>
      <xdr:spPr>
        <a:xfrm>
          <a:off x="3162300" y="94583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2</xdr:col>
      <xdr:colOff>276225</xdr:colOff>
      <xdr:row>67</xdr:row>
      <xdr:rowOff>123825</xdr:rowOff>
    </xdr:from>
    <xdr:to>
      <xdr:col>2</xdr:col>
      <xdr:colOff>447675</xdr:colOff>
      <xdr:row>68</xdr:row>
      <xdr:rowOff>114300</xdr:rowOff>
    </xdr:to>
    <xdr:sp>
      <xdr:nvSpPr>
        <xdr:cNvPr id="20" name="TextBox 74">
          <a:hlinkClick r:id="rId2"/>
        </xdr:cNvPr>
        <xdr:cNvSpPr txBox="1">
          <a:spLocks noChangeArrowheads="1"/>
        </xdr:cNvSpPr>
      </xdr:nvSpPr>
      <xdr:spPr>
        <a:xfrm>
          <a:off x="2419350" y="94392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2</xdr:col>
      <xdr:colOff>0</xdr:colOff>
      <xdr:row>68</xdr:row>
      <xdr:rowOff>161925</xdr:rowOff>
    </xdr:from>
    <xdr:to>
      <xdr:col>2</xdr:col>
      <xdr:colOff>171450</xdr:colOff>
      <xdr:row>69</xdr:row>
      <xdr:rowOff>152400</xdr:rowOff>
    </xdr:to>
    <xdr:sp>
      <xdr:nvSpPr>
        <xdr:cNvPr id="21" name="TextBox 75"/>
        <xdr:cNvSpPr txBox="1">
          <a:spLocks noChangeArrowheads="1"/>
        </xdr:cNvSpPr>
      </xdr:nvSpPr>
      <xdr:spPr>
        <a:xfrm>
          <a:off x="2143125" y="965835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2</xdr:col>
      <xdr:colOff>47625</xdr:colOff>
      <xdr:row>64</xdr:row>
      <xdr:rowOff>114300</xdr:rowOff>
    </xdr:from>
    <xdr:to>
      <xdr:col>3</xdr:col>
      <xdr:colOff>142875</xdr:colOff>
      <xdr:row>68</xdr:row>
      <xdr:rowOff>142875</xdr:rowOff>
    </xdr:to>
    <xdr:sp>
      <xdr:nvSpPr>
        <xdr:cNvPr id="22" name="Line 76"/>
        <xdr:cNvSpPr>
          <a:spLocks/>
        </xdr:cNvSpPr>
      </xdr:nvSpPr>
      <xdr:spPr>
        <a:xfrm flipV="1">
          <a:off x="2190750" y="8905875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65</xdr:row>
      <xdr:rowOff>28575</xdr:rowOff>
    </xdr:from>
    <xdr:to>
      <xdr:col>12</xdr:col>
      <xdr:colOff>219075</xdr:colOff>
      <xdr:row>66</xdr:row>
      <xdr:rowOff>19050</xdr:rowOff>
    </xdr:to>
    <xdr:sp>
      <xdr:nvSpPr>
        <xdr:cNvPr id="23" name="TextBox 77"/>
        <xdr:cNvSpPr txBox="1">
          <a:spLocks noChangeArrowheads="1"/>
        </xdr:cNvSpPr>
      </xdr:nvSpPr>
      <xdr:spPr>
        <a:xfrm>
          <a:off x="10668000" y="89916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64</xdr:row>
      <xdr:rowOff>142875</xdr:rowOff>
    </xdr:from>
    <xdr:to>
      <xdr:col>12</xdr:col>
      <xdr:colOff>485775</xdr:colOff>
      <xdr:row>68</xdr:row>
      <xdr:rowOff>152400</xdr:rowOff>
    </xdr:to>
    <xdr:sp>
      <xdr:nvSpPr>
        <xdr:cNvPr id="24" name="Line 78"/>
        <xdr:cNvSpPr>
          <a:spLocks/>
        </xdr:cNvSpPr>
      </xdr:nvSpPr>
      <xdr:spPr>
        <a:xfrm>
          <a:off x="10763250" y="8934450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68</xdr:row>
      <xdr:rowOff>152400</xdr:rowOff>
    </xdr:from>
    <xdr:to>
      <xdr:col>12</xdr:col>
      <xdr:colOff>485775</xdr:colOff>
      <xdr:row>68</xdr:row>
      <xdr:rowOff>152400</xdr:rowOff>
    </xdr:to>
    <xdr:sp>
      <xdr:nvSpPr>
        <xdr:cNvPr id="25" name="Line 79"/>
        <xdr:cNvSpPr>
          <a:spLocks/>
        </xdr:cNvSpPr>
      </xdr:nvSpPr>
      <xdr:spPr>
        <a:xfrm>
          <a:off x="9839325" y="96488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67</xdr:row>
      <xdr:rowOff>142875</xdr:rowOff>
    </xdr:from>
    <xdr:to>
      <xdr:col>12</xdr:col>
      <xdr:colOff>371475</xdr:colOff>
      <xdr:row>68</xdr:row>
      <xdr:rowOff>133350</xdr:rowOff>
    </xdr:to>
    <xdr:sp>
      <xdr:nvSpPr>
        <xdr:cNvPr id="26" name="TextBox 80"/>
        <xdr:cNvSpPr txBox="1">
          <a:spLocks noChangeArrowheads="1"/>
        </xdr:cNvSpPr>
      </xdr:nvSpPr>
      <xdr:spPr>
        <a:xfrm>
          <a:off x="10820400" y="94583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67</xdr:row>
      <xdr:rowOff>123825</xdr:rowOff>
    </xdr:from>
    <xdr:to>
      <xdr:col>11</xdr:col>
      <xdr:colOff>447675</xdr:colOff>
      <xdr:row>68</xdr:row>
      <xdr:rowOff>114300</xdr:rowOff>
    </xdr:to>
    <xdr:sp>
      <xdr:nvSpPr>
        <xdr:cNvPr id="27" name="TextBox 81">
          <a:hlinkClick r:id="rId3"/>
        </xdr:cNvPr>
        <xdr:cNvSpPr txBox="1">
          <a:spLocks noChangeArrowheads="1"/>
        </xdr:cNvSpPr>
      </xdr:nvSpPr>
      <xdr:spPr>
        <a:xfrm>
          <a:off x="10077450" y="94392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68</xdr:row>
      <xdr:rowOff>161925</xdr:rowOff>
    </xdr:from>
    <xdr:to>
      <xdr:col>11</xdr:col>
      <xdr:colOff>171450</xdr:colOff>
      <xdr:row>69</xdr:row>
      <xdr:rowOff>152400</xdr:rowOff>
    </xdr:to>
    <xdr:sp>
      <xdr:nvSpPr>
        <xdr:cNvPr id="28" name="TextBox 82"/>
        <xdr:cNvSpPr txBox="1">
          <a:spLocks noChangeArrowheads="1"/>
        </xdr:cNvSpPr>
      </xdr:nvSpPr>
      <xdr:spPr>
        <a:xfrm>
          <a:off x="9801225" y="965835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64</xdr:row>
      <xdr:rowOff>114300</xdr:rowOff>
    </xdr:from>
    <xdr:to>
      <xdr:col>12</xdr:col>
      <xdr:colOff>142875</xdr:colOff>
      <xdr:row>68</xdr:row>
      <xdr:rowOff>142875</xdr:rowOff>
    </xdr:to>
    <xdr:sp>
      <xdr:nvSpPr>
        <xdr:cNvPr id="29" name="Line 83"/>
        <xdr:cNvSpPr>
          <a:spLocks/>
        </xdr:cNvSpPr>
      </xdr:nvSpPr>
      <xdr:spPr>
        <a:xfrm flipV="1">
          <a:off x="9848850" y="8905875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65</xdr:row>
      <xdr:rowOff>28575</xdr:rowOff>
    </xdr:from>
    <xdr:to>
      <xdr:col>12</xdr:col>
      <xdr:colOff>219075</xdr:colOff>
      <xdr:row>66</xdr:row>
      <xdr:rowOff>19050</xdr:rowOff>
    </xdr:to>
    <xdr:sp>
      <xdr:nvSpPr>
        <xdr:cNvPr id="30" name="TextBox 85"/>
        <xdr:cNvSpPr txBox="1">
          <a:spLocks noChangeArrowheads="1"/>
        </xdr:cNvSpPr>
      </xdr:nvSpPr>
      <xdr:spPr>
        <a:xfrm>
          <a:off x="10668000" y="89916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64</xdr:row>
      <xdr:rowOff>142875</xdr:rowOff>
    </xdr:from>
    <xdr:to>
      <xdr:col>12</xdr:col>
      <xdr:colOff>485775</xdr:colOff>
      <xdr:row>68</xdr:row>
      <xdr:rowOff>152400</xdr:rowOff>
    </xdr:to>
    <xdr:sp>
      <xdr:nvSpPr>
        <xdr:cNvPr id="31" name="Line 86"/>
        <xdr:cNvSpPr>
          <a:spLocks/>
        </xdr:cNvSpPr>
      </xdr:nvSpPr>
      <xdr:spPr>
        <a:xfrm>
          <a:off x="10763250" y="8934450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68</xdr:row>
      <xdr:rowOff>152400</xdr:rowOff>
    </xdr:from>
    <xdr:to>
      <xdr:col>12</xdr:col>
      <xdr:colOff>485775</xdr:colOff>
      <xdr:row>68</xdr:row>
      <xdr:rowOff>152400</xdr:rowOff>
    </xdr:to>
    <xdr:sp>
      <xdr:nvSpPr>
        <xdr:cNvPr id="32" name="Line 87"/>
        <xdr:cNvSpPr>
          <a:spLocks/>
        </xdr:cNvSpPr>
      </xdr:nvSpPr>
      <xdr:spPr>
        <a:xfrm>
          <a:off x="9839325" y="96488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67</xdr:row>
      <xdr:rowOff>142875</xdr:rowOff>
    </xdr:from>
    <xdr:to>
      <xdr:col>12</xdr:col>
      <xdr:colOff>371475</xdr:colOff>
      <xdr:row>68</xdr:row>
      <xdr:rowOff>133350</xdr:rowOff>
    </xdr:to>
    <xdr:sp>
      <xdr:nvSpPr>
        <xdr:cNvPr id="33" name="TextBox 88"/>
        <xdr:cNvSpPr txBox="1">
          <a:spLocks noChangeArrowheads="1"/>
        </xdr:cNvSpPr>
      </xdr:nvSpPr>
      <xdr:spPr>
        <a:xfrm>
          <a:off x="10820400" y="94583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67</xdr:row>
      <xdr:rowOff>123825</xdr:rowOff>
    </xdr:from>
    <xdr:to>
      <xdr:col>11</xdr:col>
      <xdr:colOff>447675</xdr:colOff>
      <xdr:row>68</xdr:row>
      <xdr:rowOff>114300</xdr:rowOff>
    </xdr:to>
    <xdr:sp>
      <xdr:nvSpPr>
        <xdr:cNvPr id="34" name="TextBox 89">
          <a:hlinkClick r:id="rId4"/>
        </xdr:cNvPr>
        <xdr:cNvSpPr txBox="1">
          <a:spLocks noChangeArrowheads="1"/>
        </xdr:cNvSpPr>
      </xdr:nvSpPr>
      <xdr:spPr>
        <a:xfrm>
          <a:off x="10077450" y="94392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68</xdr:row>
      <xdr:rowOff>161925</xdr:rowOff>
    </xdr:from>
    <xdr:to>
      <xdr:col>11</xdr:col>
      <xdr:colOff>171450</xdr:colOff>
      <xdr:row>69</xdr:row>
      <xdr:rowOff>152400</xdr:rowOff>
    </xdr:to>
    <xdr:sp>
      <xdr:nvSpPr>
        <xdr:cNvPr id="35" name="TextBox 90"/>
        <xdr:cNvSpPr txBox="1">
          <a:spLocks noChangeArrowheads="1"/>
        </xdr:cNvSpPr>
      </xdr:nvSpPr>
      <xdr:spPr>
        <a:xfrm>
          <a:off x="9801225" y="965835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64</xdr:row>
      <xdr:rowOff>114300</xdr:rowOff>
    </xdr:from>
    <xdr:to>
      <xdr:col>12</xdr:col>
      <xdr:colOff>142875</xdr:colOff>
      <xdr:row>68</xdr:row>
      <xdr:rowOff>142875</xdr:rowOff>
    </xdr:to>
    <xdr:sp>
      <xdr:nvSpPr>
        <xdr:cNvPr id="36" name="Line 91"/>
        <xdr:cNvSpPr>
          <a:spLocks/>
        </xdr:cNvSpPr>
      </xdr:nvSpPr>
      <xdr:spPr>
        <a:xfrm flipV="1">
          <a:off x="9848850" y="8905875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44</xdr:row>
      <xdr:rowOff>142875</xdr:rowOff>
    </xdr:from>
    <xdr:to>
      <xdr:col>7</xdr:col>
      <xdr:colOff>428625</xdr:colOff>
      <xdr:row>45</xdr:row>
      <xdr:rowOff>142875</xdr:rowOff>
    </xdr:to>
    <xdr:sp>
      <xdr:nvSpPr>
        <xdr:cNvPr id="37" name="TextBox 106">
          <a:hlinkClick r:id="rId5"/>
        </xdr:cNvPr>
        <xdr:cNvSpPr txBox="1">
          <a:spLocks noChangeArrowheads="1"/>
        </xdr:cNvSpPr>
      </xdr:nvSpPr>
      <xdr:spPr>
        <a:xfrm>
          <a:off x="6515100" y="52863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8</xdr:col>
      <xdr:colOff>85725</xdr:colOff>
      <xdr:row>44</xdr:row>
      <xdr:rowOff>104775</xdr:rowOff>
    </xdr:from>
    <xdr:to>
      <xdr:col>8</xdr:col>
      <xdr:colOff>257175</xdr:colOff>
      <xdr:row>45</xdr:row>
      <xdr:rowOff>95250</xdr:rowOff>
    </xdr:to>
    <xdr:sp>
      <xdr:nvSpPr>
        <xdr:cNvPr id="38" name="TextBox 111"/>
        <xdr:cNvSpPr txBox="1">
          <a:spLocks noChangeArrowheads="1"/>
        </xdr:cNvSpPr>
      </xdr:nvSpPr>
      <xdr:spPr>
        <a:xfrm>
          <a:off x="7038975" y="52482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6</xdr:col>
      <xdr:colOff>638175</xdr:colOff>
      <xdr:row>47</xdr:row>
      <xdr:rowOff>76200</xdr:rowOff>
    </xdr:from>
    <xdr:to>
      <xdr:col>7</xdr:col>
      <xdr:colOff>171450</xdr:colOff>
      <xdr:row>49</xdr:row>
      <xdr:rowOff>0</xdr:rowOff>
    </xdr:to>
    <xdr:sp>
      <xdr:nvSpPr>
        <xdr:cNvPr id="39" name="TextBox 114"/>
        <xdr:cNvSpPr txBox="1">
          <a:spLocks noChangeArrowheads="1"/>
        </xdr:cNvSpPr>
      </xdr:nvSpPr>
      <xdr:spPr>
        <a:xfrm>
          <a:off x="6048375" y="5734050"/>
          <a:ext cx="381000" cy="3238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47625</xdr:colOff>
      <xdr:row>84</xdr:row>
      <xdr:rowOff>28575</xdr:rowOff>
    </xdr:from>
    <xdr:to>
      <xdr:col>3</xdr:col>
      <xdr:colOff>219075</xdr:colOff>
      <xdr:row>85</xdr:row>
      <xdr:rowOff>19050</xdr:rowOff>
    </xdr:to>
    <xdr:sp>
      <xdr:nvSpPr>
        <xdr:cNvPr id="40" name="TextBox 118"/>
        <xdr:cNvSpPr txBox="1">
          <a:spLocks noChangeArrowheads="1"/>
        </xdr:cNvSpPr>
      </xdr:nvSpPr>
      <xdr:spPr>
        <a:xfrm>
          <a:off x="3009900" y="1232535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3</xdr:col>
      <xdr:colOff>142875</xdr:colOff>
      <xdr:row>83</xdr:row>
      <xdr:rowOff>142875</xdr:rowOff>
    </xdr:from>
    <xdr:to>
      <xdr:col>3</xdr:col>
      <xdr:colOff>485775</xdr:colOff>
      <xdr:row>87</xdr:row>
      <xdr:rowOff>152400</xdr:rowOff>
    </xdr:to>
    <xdr:sp>
      <xdr:nvSpPr>
        <xdr:cNvPr id="41" name="Line 119"/>
        <xdr:cNvSpPr>
          <a:spLocks/>
        </xdr:cNvSpPr>
      </xdr:nvSpPr>
      <xdr:spPr>
        <a:xfrm>
          <a:off x="3105150" y="12268200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87</xdr:row>
      <xdr:rowOff>152400</xdr:rowOff>
    </xdr:from>
    <xdr:to>
      <xdr:col>3</xdr:col>
      <xdr:colOff>485775</xdr:colOff>
      <xdr:row>87</xdr:row>
      <xdr:rowOff>152400</xdr:rowOff>
    </xdr:to>
    <xdr:sp>
      <xdr:nvSpPr>
        <xdr:cNvPr id="42" name="Line 120"/>
        <xdr:cNvSpPr>
          <a:spLocks/>
        </xdr:cNvSpPr>
      </xdr:nvSpPr>
      <xdr:spPr>
        <a:xfrm>
          <a:off x="2181225" y="12982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86</xdr:row>
      <xdr:rowOff>142875</xdr:rowOff>
    </xdr:from>
    <xdr:to>
      <xdr:col>3</xdr:col>
      <xdr:colOff>371475</xdr:colOff>
      <xdr:row>87</xdr:row>
      <xdr:rowOff>133350</xdr:rowOff>
    </xdr:to>
    <xdr:sp>
      <xdr:nvSpPr>
        <xdr:cNvPr id="43" name="TextBox 121"/>
        <xdr:cNvSpPr txBox="1">
          <a:spLocks noChangeArrowheads="1"/>
        </xdr:cNvSpPr>
      </xdr:nvSpPr>
      <xdr:spPr>
        <a:xfrm>
          <a:off x="3162300" y="127920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2</xdr:col>
      <xdr:colOff>276225</xdr:colOff>
      <xdr:row>86</xdr:row>
      <xdr:rowOff>123825</xdr:rowOff>
    </xdr:from>
    <xdr:to>
      <xdr:col>2</xdr:col>
      <xdr:colOff>447675</xdr:colOff>
      <xdr:row>87</xdr:row>
      <xdr:rowOff>114300</xdr:rowOff>
    </xdr:to>
    <xdr:sp>
      <xdr:nvSpPr>
        <xdr:cNvPr id="44" name="TextBox 122">
          <a:hlinkClick r:id="rId6"/>
        </xdr:cNvPr>
        <xdr:cNvSpPr txBox="1">
          <a:spLocks noChangeArrowheads="1"/>
        </xdr:cNvSpPr>
      </xdr:nvSpPr>
      <xdr:spPr>
        <a:xfrm>
          <a:off x="2419350" y="127730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2</xdr:col>
      <xdr:colOff>0</xdr:colOff>
      <xdr:row>87</xdr:row>
      <xdr:rowOff>161925</xdr:rowOff>
    </xdr:from>
    <xdr:to>
      <xdr:col>2</xdr:col>
      <xdr:colOff>171450</xdr:colOff>
      <xdr:row>88</xdr:row>
      <xdr:rowOff>152400</xdr:rowOff>
    </xdr:to>
    <xdr:sp>
      <xdr:nvSpPr>
        <xdr:cNvPr id="45" name="TextBox 123"/>
        <xdr:cNvSpPr txBox="1">
          <a:spLocks noChangeArrowheads="1"/>
        </xdr:cNvSpPr>
      </xdr:nvSpPr>
      <xdr:spPr>
        <a:xfrm>
          <a:off x="2143125" y="129921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2</xdr:col>
      <xdr:colOff>47625</xdr:colOff>
      <xdr:row>83</xdr:row>
      <xdr:rowOff>114300</xdr:rowOff>
    </xdr:from>
    <xdr:to>
      <xdr:col>3</xdr:col>
      <xdr:colOff>142875</xdr:colOff>
      <xdr:row>87</xdr:row>
      <xdr:rowOff>142875</xdr:rowOff>
    </xdr:to>
    <xdr:sp>
      <xdr:nvSpPr>
        <xdr:cNvPr id="46" name="Line 124"/>
        <xdr:cNvSpPr>
          <a:spLocks/>
        </xdr:cNvSpPr>
      </xdr:nvSpPr>
      <xdr:spPr>
        <a:xfrm flipV="1">
          <a:off x="2190750" y="12239625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84</xdr:row>
      <xdr:rowOff>28575</xdr:rowOff>
    </xdr:from>
    <xdr:to>
      <xdr:col>12</xdr:col>
      <xdr:colOff>219075</xdr:colOff>
      <xdr:row>85</xdr:row>
      <xdr:rowOff>19050</xdr:rowOff>
    </xdr:to>
    <xdr:sp>
      <xdr:nvSpPr>
        <xdr:cNvPr id="47" name="TextBox 125"/>
        <xdr:cNvSpPr txBox="1">
          <a:spLocks noChangeArrowheads="1"/>
        </xdr:cNvSpPr>
      </xdr:nvSpPr>
      <xdr:spPr>
        <a:xfrm>
          <a:off x="10668000" y="1232535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83</xdr:row>
      <xdr:rowOff>142875</xdr:rowOff>
    </xdr:from>
    <xdr:to>
      <xdr:col>12</xdr:col>
      <xdr:colOff>485775</xdr:colOff>
      <xdr:row>87</xdr:row>
      <xdr:rowOff>152400</xdr:rowOff>
    </xdr:to>
    <xdr:sp>
      <xdr:nvSpPr>
        <xdr:cNvPr id="48" name="Line 126"/>
        <xdr:cNvSpPr>
          <a:spLocks/>
        </xdr:cNvSpPr>
      </xdr:nvSpPr>
      <xdr:spPr>
        <a:xfrm>
          <a:off x="10763250" y="12268200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152400</xdr:rowOff>
    </xdr:from>
    <xdr:to>
      <xdr:col>12</xdr:col>
      <xdr:colOff>485775</xdr:colOff>
      <xdr:row>87</xdr:row>
      <xdr:rowOff>152400</xdr:rowOff>
    </xdr:to>
    <xdr:sp>
      <xdr:nvSpPr>
        <xdr:cNvPr id="49" name="Line 127"/>
        <xdr:cNvSpPr>
          <a:spLocks/>
        </xdr:cNvSpPr>
      </xdr:nvSpPr>
      <xdr:spPr>
        <a:xfrm>
          <a:off x="9839325" y="12982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86</xdr:row>
      <xdr:rowOff>142875</xdr:rowOff>
    </xdr:from>
    <xdr:to>
      <xdr:col>12</xdr:col>
      <xdr:colOff>371475</xdr:colOff>
      <xdr:row>87</xdr:row>
      <xdr:rowOff>133350</xdr:rowOff>
    </xdr:to>
    <xdr:sp>
      <xdr:nvSpPr>
        <xdr:cNvPr id="50" name="TextBox 128"/>
        <xdr:cNvSpPr txBox="1">
          <a:spLocks noChangeArrowheads="1"/>
        </xdr:cNvSpPr>
      </xdr:nvSpPr>
      <xdr:spPr>
        <a:xfrm>
          <a:off x="10820400" y="127920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86</xdr:row>
      <xdr:rowOff>123825</xdr:rowOff>
    </xdr:from>
    <xdr:to>
      <xdr:col>11</xdr:col>
      <xdr:colOff>447675</xdr:colOff>
      <xdr:row>87</xdr:row>
      <xdr:rowOff>114300</xdr:rowOff>
    </xdr:to>
    <xdr:sp>
      <xdr:nvSpPr>
        <xdr:cNvPr id="51" name="TextBox 129">
          <a:hlinkClick r:id="rId7"/>
        </xdr:cNvPr>
        <xdr:cNvSpPr txBox="1">
          <a:spLocks noChangeArrowheads="1"/>
        </xdr:cNvSpPr>
      </xdr:nvSpPr>
      <xdr:spPr>
        <a:xfrm>
          <a:off x="10077450" y="127730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87</xdr:row>
      <xdr:rowOff>161925</xdr:rowOff>
    </xdr:from>
    <xdr:to>
      <xdr:col>11</xdr:col>
      <xdr:colOff>171450</xdr:colOff>
      <xdr:row>88</xdr:row>
      <xdr:rowOff>152400</xdr:rowOff>
    </xdr:to>
    <xdr:sp>
      <xdr:nvSpPr>
        <xdr:cNvPr id="52" name="TextBox 130"/>
        <xdr:cNvSpPr txBox="1">
          <a:spLocks noChangeArrowheads="1"/>
        </xdr:cNvSpPr>
      </xdr:nvSpPr>
      <xdr:spPr>
        <a:xfrm>
          <a:off x="9801225" y="129921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83</xdr:row>
      <xdr:rowOff>114300</xdr:rowOff>
    </xdr:from>
    <xdr:to>
      <xdr:col>12</xdr:col>
      <xdr:colOff>142875</xdr:colOff>
      <xdr:row>87</xdr:row>
      <xdr:rowOff>142875</xdr:rowOff>
    </xdr:to>
    <xdr:sp>
      <xdr:nvSpPr>
        <xdr:cNvPr id="53" name="Line 131"/>
        <xdr:cNvSpPr>
          <a:spLocks/>
        </xdr:cNvSpPr>
      </xdr:nvSpPr>
      <xdr:spPr>
        <a:xfrm flipV="1">
          <a:off x="9848850" y="12239625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84</xdr:row>
      <xdr:rowOff>28575</xdr:rowOff>
    </xdr:from>
    <xdr:to>
      <xdr:col>12</xdr:col>
      <xdr:colOff>219075</xdr:colOff>
      <xdr:row>85</xdr:row>
      <xdr:rowOff>19050</xdr:rowOff>
    </xdr:to>
    <xdr:sp>
      <xdr:nvSpPr>
        <xdr:cNvPr id="54" name="TextBox 132"/>
        <xdr:cNvSpPr txBox="1">
          <a:spLocks noChangeArrowheads="1"/>
        </xdr:cNvSpPr>
      </xdr:nvSpPr>
      <xdr:spPr>
        <a:xfrm>
          <a:off x="10668000" y="1232535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83</xdr:row>
      <xdr:rowOff>142875</xdr:rowOff>
    </xdr:from>
    <xdr:to>
      <xdr:col>12</xdr:col>
      <xdr:colOff>485775</xdr:colOff>
      <xdr:row>87</xdr:row>
      <xdr:rowOff>152400</xdr:rowOff>
    </xdr:to>
    <xdr:sp>
      <xdr:nvSpPr>
        <xdr:cNvPr id="55" name="Line 133"/>
        <xdr:cNvSpPr>
          <a:spLocks/>
        </xdr:cNvSpPr>
      </xdr:nvSpPr>
      <xdr:spPr>
        <a:xfrm>
          <a:off x="10763250" y="12268200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152400</xdr:rowOff>
    </xdr:from>
    <xdr:to>
      <xdr:col>12</xdr:col>
      <xdr:colOff>485775</xdr:colOff>
      <xdr:row>87</xdr:row>
      <xdr:rowOff>152400</xdr:rowOff>
    </xdr:to>
    <xdr:sp>
      <xdr:nvSpPr>
        <xdr:cNvPr id="56" name="Line 134"/>
        <xdr:cNvSpPr>
          <a:spLocks/>
        </xdr:cNvSpPr>
      </xdr:nvSpPr>
      <xdr:spPr>
        <a:xfrm>
          <a:off x="9839325" y="12982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86</xdr:row>
      <xdr:rowOff>142875</xdr:rowOff>
    </xdr:from>
    <xdr:to>
      <xdr:col>12</xdr:col>
      <xdr:colOff>371475</xdr:colOff>
      <xdr:row>87</xdr:row>
      <xdr:rowOff>133350</xdr:rowOff>
    </xdr:to>
    <xdr:sp>
      <xdr:nvSpPr>
        <xdr:cNvPr id="57" name="TextBox 135"/>
        <xdr:cNvSpPr txBox="1">
          <a:spLocks noChangeArrowheads="1"/>
        </xdr:cNvSpPr>
      </xdr:nvSpPr>
      <xdr:spPr>
        <a:xfrm>
          <a:off x="10820400" y="127920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86</xdr:row>
      <xdr:rowOff>123825</xdr:rowOff>
    </xdr:from>
    <xdr:to>
      <xdr:col>11</xdr:col>
      <xdr:colOff>447675</xdr:colOff>
      <xdr:row>87</xdr:row>
      <xdr:rowOff>114300</xdr:rowOff>
    </xdr:to>
    <xdr:sp>
      <xdr:nvSpPr>
        <xdr:cNvPr id="58" name="TextBox 136">
          <a:hlinkClick r:id="rId8"/>
        </xdr:cNvPr>
        <xdr:cNvSpPr txBox="1">
          <a:spLocks noChangeArrowheads="1"/>
        </xdr:cNvSpPr>
      </xdr:nvSpPr>
      <xdr:spPr>
        <a:xfrm>
          <a:off x="10077450" y="127730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87</xdr:row>
      <xdr:rowOff>161925</xdr:rowOff>
    </xdr:from>
    <xdr:to>
      <xdr:col>11</xdr:col>
      <xdr:colOff>171450</xdr:colOff>
      <xdr:row>88</xdr:row>
      <xdr:rowOff>152400</xdr:rowOff>
    </xdr:to>
    <xdr:sp>
      <xdr:nvSpPr>
        <xdr:cNvPr id="59" name="TextBox 137"/>
        <xdr:cNvSpPr txBox="1">
          <a:spLocks noChangeArrowheads="1"/>
        </xdr:cNvSpPr>
      </xdr:nvSpPr>
      <xdr:spPr>
        <a:xfrm>
          <a:off x="9801225" y="129921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83</xdr:row>
      <xdr:rowOff>114300</xdr:rowOff>
    </xdr:from>
    <xdr:to>
      <xdr:col>12</xdr:col>
      <xdr:colOff>142875</xdr:colOff>
      <xdr:row>87</xdr:row>
      <xdr:rowOff>142875</xdr:rowOff>
    </xdr:to>
    <xdr:sp>
      <xdr:nvSpPr>
        <xdr:cNvPr id="60" name="Line 138"/>
        <xdr:cNvSpPr>
          <a:spLocks/>
        </xdr:cNvSpPr>
      </xdr:nvSpPr>
      <xdr:spPr>
        <a:xfrm flipV="1">
          <a:off x="9848850" y="12239625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83</xdr:row>
      <xdr:rowOff>76200</xdr:rowOff>
    </xdr:from>
    <xdr:to>
      <xdr:col>7</xdr:col>
      <xdr:colOff>600075</xdr:colOff>
      <xdr:row>90</xdr:row>
      <xdr:rowOff>0</xdr:rowOff>
    </xdr:to>
    <xdr:sp>
      <xdr:nvSpPr>
        <xdr:cNvPr id="61" name="Oval 149"/>
        <xdr:cNvSpPr>
          <a:spLocks/>
        </xdr:cNvSpPr>
      </xdr:nvSpPr>
      <xdr:spPr>
        <a:xfrm>
          <a:off x="5486400" y="12201525"/>
          <a:ext cx="1371600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83</xdr:row>
      <xdr:rowOff>104775</xdr:rowOff>
    </xdr:from>
    <xdr:to>
      <xdr:col>7</xdr:col>
      <xdr:colOff>409575</xdr:colOff>
      <xdr:row>89</xdr:row>
      <xdr:rowOff>28575</xdr:rowOff>
    </xdr:to>
    <xdr:sp>
      <xdr:nvSpPr>
        <xdr:cNvPr id="62" name="Line 150"/>
        <xdr:cNvSpPr>
          <a:spLocks/>
        </xdr:cNvSpPr>
      </xdr:nvSpPr>
      <xdr:spPr>
        <a:xfrm>
          <a:off x="6257925" y="12230100"/>
          <a:ext cx="409575" cy="9810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89</xdr:row>
      <xdr:rowOff>28575</xdr:rowOff>
    </xdr:from>
    <xdr:to>
      <xdr:col>7</xdr:col>
      <xdr:colOff>381000</xdr:colOff>
      <xdr:row>89</xdr:row>
      <xdr:rowOff>28575</xdr:rowOff>
    </xdr:to>
    <xdr:sp>
      <xdr:nvSpPr>
        <xdr:cNvPr id="63" name="Line 151"/>
        <xdr:cNvSpPr>
          <a:spLocks/>
        </xdr:cNvSpPr>
      </xdr:nvSpPr>
      <xdr:spPr>
        <a:xfrm>
          <a:off x="5705475" y="1321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88</xdr:row>
      <xdr:rowOff>28575</xdr:rowOff>
    </xdr:from>
    <xdr:to>
      <xdr:col>6</xdr:col>
      <xdr:colOff>466725</xdr:colOff>
      <xdr:row>89</xdr:row>
      <xdr:rowOff>19050</xdr:rowOff>
    </xdr:to>
    <xdr:sp>
      <xdr:nvSpPr>
        <xdr:cNvPr id="64" name="TextBox 152"/>
        <xdr:cNvSpPr txBox="1">
          <a:spLocks noChangeArrowheads="1"/>
        </xdr:cNvSpPr>
      </xdr:nvSpPr>
      <xdr:spPr>
        <a:xfrm>
          <a:off x="5705475" y="130302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6</xdr:col>
      <xdr:colOff>266700</xdr:colOff>
      <xdr:row>83</xdr:row>
      <xdr:rowOff>85725</xdr:rowOff>
    </xdr:from>
    <xdr:to>
      <xdr:col>7</xdr:col>
      <xdr:colOff>0</xdr:colOff>
      <xdr:row>89</xdr:row>
      <xdr:rowOff>28575</xdr:rowOff>
    </xdr:to>
    <xdr:sp>
      <xdr:nvSpPr>
        <xdr:cNvPr id="65" name="Line 153"/>
        <xdr:cNvSpPr>
          <a:spLocks/>
        </xdr:cNvSpPr>
      </xdr:nvSpPr>
      <xdr:spPr>
        <a:xfrm flipV="1">
          <a:off x="5676900" y="12211050"/>
          <a:ext cx="5810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84</xdr:row>
      <xdr:rowOff>85725</xdr:rowOff>
    </xdr:from>
    <xdr:to>
      <xdr:col>7</xdr:col>
      <xdr:colOff>95250</xdr:colOff>
      <xdr:row>85</xdr:row>
      <xdr:rowOff>76200</xdr:rowOff>
    </xdr:to>
    <xdr:sp>
      <xdr:nvSpPr>
        <xdr:cNvPr id="66" name="TextBox 154"/>
        <xdr:cNvSpPr txBox="1">
          <a:spLocks noChangeArrowheads="1"/>
        </xdr:cNvSpPr>
      </xdr:nvSpPr>
      <xdr:spPr>
        <a:xfrm>
          <a:off x="6019800" y="12382500"/>
          <a:ext cx="333375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7</xdr:col>
      <xdr:colOff>152400</xdr:colOff>
      <xdr:row>88</xdr:row>
      <xdr:rowOff>9525</xdr:rowOff>
    </xdr:from>
    <xdr:to>
      <xdr:col>7</xdr:col>
      <xdr:colOff>323850</xdr:colOff>
      <xdr:row>89</xdr:row>
      <xdr:rowOff>0</xdr:rowOff>
    </xdr:to>
    <xdr:sp>
      <xdr:nvSpPr>
        <xdr:cNvPr id="67" name="TextBox 155"/>
        <xdr:cNvSpPr txBox="1">
          <a:spLocks noChangeArrowheads="1"/>
        </xdr:cNvSpPr>
      </xdr:nvSpPr>
      <xdr:spPr>
        <a:xfrm>
          <a:off x="6410325" y="130111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6</xdr:col>
      <xdr:colOff>76200</xdr:colOff>
      <xdr:row>64</xdr:row>
      <xdr:rowOff>76200</xdr:rowOff>
    </xdr:from>
    <xdr:to>
      <xdr:col>7</xdr:col>
      <xdr:colOff>600075</xdr:colOff>
      <xdr:row>71</xdr:row>
      <xdr:rowOff>0</xdr:rowOff>
    </xdr:to>
    <xdr:sp>
      <xdr:nvSpPr>
        <xdr:cNvPr id="68" name="Oval 157"/>
        <xdr:cNvSpPr>
          <a:spLocks/>
        </xdr:cNvSpPr>
      </xdr:nvSpPr>
      <xdr:spPr>
        <a:xfrm>
          <a:off x="5486400" y="8867775"/>
          <a:ext cx="1371600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64</xdr:row>
      <xdr:rowOff>114300</xdr:rowOff>
    </xdr:from>
    <xdr:to>
      <xdr:col>7</xdr:col>
      <xdr:colOff>561975</xdr:colOff>
      <xdr:row>69</xdr:row>
      <xdr:rowOff>0</xdr:rowOff>
    </xdr:to>
    <xdr:sp>
      <xdr:nvSpPr>
        <xdr:cNvPr id="69" name="Line 158"/>
        <xdr:cNvSpPr>
          <a:spLocks/>
        </xdr:cNvSpPr>
      </xdr:nvSpPr>
      <xdr:spPr>
        <a:xfrm>
          <a:off x="6400800" y="8905875"/>
          <a:ext cx="419100" cy="762000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69</xdr:row>
      <xdr:rowOff>0</xdr:rowOff>
    </xdr:from>
    <xdr:to>
      <xdr:col>7</xdr:col>
      <xdr:colOff>590550</xdr:colOff>
      <xdr:row>69</xdr:row>
      <xdr:rowOff>0</xdr:rowOff>
    </xdr:to>
    <xdr:sp>
      <xdr:nvSpPr>
        <xdr:cNvPr id="70" name="Line 159"/>
        <xdr:cNvSpPr>
          <a:spLocks/>
        </xdr:cNvSpPr>
      </xdr:nvSpPr>
      <xdr:spPr>
        <a:xfrm>
          <a:off x="5553075" y="9667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67</xdr:row>
      <xdr:rowOff>123825</xdr:rowOff>
    </xdr:from>
    <xdr:to>
      <xdr:col>6</xdr:col>
      <xdr:colOff>447675</xdr:colOff>
      <xdr:row>68</xdr:row>
      <xdr:rowOff>114300</xdr:rowOff>
    </xdr:to>
    <xdr:sp>
      <xdr:nvSpPr>
        <xdr:cNvPr id="71" name="TextBox 160">
          <a:hlinkClick r:id="rId9"/>
        </xdr:cNvPr>
        <xdr:cNvSpPr txBox="1">
          <a:spLocks noChangeArrowheads="1"/>
        </xdr:cNvSpPr>
      </xdr:nvSpPr>
      <xdr:spPr>
        <a:xfrm>
          <a:off x="5686425" y="94392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6</xdr:col>
      <xdr:colOff>123825</xdr:colOff>
      <xdr:row>64</xdr:row>
      <xdr:rowOff>114300</xdr:rowOff>
    </xdr:from>
    <xdr:to>
      <xdr:col>7</xdr:col>
      <xdr:colOff>142875</xdr:colOff>
      <xdr:row>69</xdr:row>
      <xdr:rowOff>28575</xdr:rowOff>
    </xdr:to>
    <xdr:sp>
      <xdr:nvSpPr>
        <xdr:cNvPr id="72" name="Line 161"/>
        <xdr:cNvSpPr>
          <a:spLocks/>
        </xdr:cNvSpPr>
      </xdr:nvSpPr>
      <xdr:spPr>
        <a:xfrm flipV="1">
          <a:off x="5534025" y="8905875"/>
          <a:ext cx="8667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65</xdr:row>
      <xdr:rowOff>66675</xdr:rowOff>
    </xdr:from>
    <xdr:to>
      <xdr:col>7</xdr:col>
      <xdr:colOff>200025</xdr:colOff>
      <xdr:row>66</xdr:row>
      <xdr:rowOff>57150</xdr:rowOff>
    </xdr:to>
    <xdr:sp>
      <xdr:nvSpPr>
        <xdr:cNvPr id="73" name="TextBox 162"/>
        <xdr:cNvSpPr txBox="1">
          <a:spLocks noChangeArrowheads="1"/>
        </xdr:cNvSpPr>
      </xdr:nvSpPr>
      <xdr:spPr>
        <a:xfrm>
          <a:off x="6286500" y="90297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7</xdr:col>
      <xdr:colOff>266700</xdr:colOff>
      <xdr:row>67</xdr:row>
      <xdr:rowOff>161925</xdr:rowOff>
    </xdr:from>
    <xdr:to>
      <xdr:col>7</xdr:col>
      <xdr:colOff>438150</xdr:colOff>
      <xdr:row>68</xdr:row>
      <xdr:rowOff>152400</xdr:rowOff>
    </xdr:to>
    <xdr:sp>
      <xdr:nvSpPr>
        <xdr:cNvPr id="74" name="TextBox 163"/>
        <xdr:cNvSpPr txBox="1">
          <a:spLocks noChangeArrowheads="1"/>
        </xdr:cNvSpPr>
      </xdr:nvSpPr>
      <xdr:spPr>
        <a:xfrm>
          <a:off x="6524625" y="94773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12</xdr:col>
      <xdr:colOff>47625</xdr:colOff>
      <xdr:row>84</xdr:row>
      <xdr:rowOff>28575</xdr:rowOff>
    </xdr:from>
    <xdr:to>
      <xdr:col>12</xdr:col>
      <xdr:colOff>219075</xdr:colOff>
      <xdr:row>85</xdr:row>
      <xdr:rowOff>19050</xdr:rowOff>
    </xdr:to>
    <xdr:sp>
      <xdr:nvSpPr>
        <xdr:cNvPr id="75" name="TextBox 164"/>
        <xdr:cNvSpPr txBox="1">
          <a:spLocks noChangeArrowheads="1"/>
        </xdr:cNvSpPr>
      </xdr:nvSpPr>
      <xdr:spPr>
        <a:xfrm>
          <a:off x="10668000" y="1232535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83</xdr:row>
      <xdr:rowOff>142875</xdr:rowOff>
    </xdr:from>
    <xdr:to>
      <xdr:col>12</xdr:col>
      <xdr:colOff>485775</xdr:colOff>
      <xdr:row>87</xdr:row>
      <xdr:rowOff>152400</xdr:rowOff>
    </xdr:to>
    <xdr:sp>
      <xdr:nvSpPr>
        <xdr:cNvPr id="76" name="Line 165"/>
        <xdr:cNvSpPr>
          <a:spLocks/>
        </xdr:cNvSpPr>
      </xdr:nvSpPr>
      <xdr:spPr>
        <a:xfrm>
          <a:off x="10763250" y="12268200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152400</xdr:rowOff>
    </xdr:from>
    <xdr:to>
      <xdr:col>12</xdr:col>
      <xdr:colOff>485775</xdr:colOff>
      <xdr:row>87</xdr:row>
      <xdr:rowOff>152400</xdr:rowOff>
    </xdr:to>
    <xdr:sp>
      <xdr:nvSpPr>
        <xdr:cNvPr id="77" name="Line 166"/>
        <xdr:cNvSpPr>
          <a:spLocks/>
        </xdr:cNvSpPr>
      </xdr:nvSpPr>
      <xdr:spPr>
        <a:xfrm>
          <a:off x="9839325" y="12982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86</xdr:row>
      <xdr:rowOff>142875</xdr:rowOff>
    </xdr:from>
    <xdr:to>
      <xdr:col>12</xdr:col>
      <xdr:colOff>371475</xdr:colOff>
      <xdr:row>87</xdr:row>
      <xdr:rowOff>133350</xdr:rowOff>
    </xdr:to>
    <xdr:sp>
      <xdr:nvSpPr>
        <xdr:cNvPr id="78" name="TextBox 167"/>
        <xdr:cNvSpPr txBox="1">
          <a:spLocks noChangeArrowheads="1"/>
        </xdr:cNvSpPr>
      </xdr:nvSpPr>
      <xdr:spPr>
        <a:xfrm>
          <a:off x="10820400" y="127920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86</xdr:row>
      <xdr:rowOff>123825</xdr:rowOff>
    </xdr:from>
    <xdr:to>
      <xdr:col>11</xdr:col>
      <xdr:colOff>447675</xdr:colOff>
      <xdr:row>87</xdr:row>
      <xdr:rowOff>114300</xdr:rowOff>
    </xdr:to>
    <xdr:sp>
      <xdr:nvSpPr>
        <xdr:cNvPr id="79" name="TextBox 168">
          <a:hlinkClick r:id="rId10"/>
        </xdr:cNvPr>
        <xdr:cNvSpPr txBox="1">
          <a:spLocks noChangeArrowheads="1"/>
        </xdr:cNvSpPr>
      </xdr:nvSpPr>
      <xdr:spPr>
        <a:xfrm>
          <a:off x="10077450" y="127730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87</xdr:row>
      <xdr:rowOff>161925</xdr:rowOff>
    </xdr:from>
    <xdr:to>
      <xdr:col>11</xdr:col>
      <xdr:colOff>171450</xdr:colOff>
      <xdr:row>88</xdr:row>
      <xdr:rowOff>152400</xdr:rowOff>
    </xdr:to>
    <xdr:sp>
      <xdr:nvSpPr>
        <xdr:cNvPr id="80" name="TextBox 169"/>
        <xdr:cNvSpPr txBox="1">
          <a:spLocks noChangeArrowheads="1"/>
        </xdr:cNvSpPr>
      </xdr:nvSpPr>
      <xdr:spPr>
        <a:xfrm>
          <a:off x="9801225" y="129921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83</xdr:row>
      <xdr:rowOff>114300</xdr:rowOff>
    </xdr:from>
    <xdr:to>
      <xdr:col>12</xdr:col>
      <xdr:colOff>142875</xdr:colOff>
      <xdr:row>87</xdr:row>
      <xdr:rowOff>142875</xdr:rowOff>
    </xdr:to>
    <xdr:sp>
      <xdr:nvSpPr>
        <xdr:cNvPr id="81" name="Line 170"/>
        <xdr:cNvSpPr>
          <a:spLocks/>
        </xdr:cNvSpPr>
      </xdr:nvSpPr>
      <xdr:spPr>
        <a:xfrm flipV="1">
          <a:off x="9848850" y="12239625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85</xdr:row>
      <xdr:rowOff>104775</xdr:rowOff>
    </xdr:from>
    <xdr:to>
      <xdr:col>7</xdr:col>
      <xdr:colOff>542925</xdr:colOff>
      <xdr:row>85</xdr:row>
      <xdr:rowOff>104775</xdr:rowOff>
    </xdr:to>
    <xdr:sp>
      <xdr:nvSpPr>
        <xdr:cNvPr id="82" name="Line 175"/>
        <xdr:cNvSpPr>
          <a:spLocks/>
        </xdr:cNvSpPr>
      </xdr:nvSpPr>
      <xdr:spPr>
        <a:xfrm flipV="1">
          <a:off x="5524500" y="125730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85</xdr:row>
      <xdr:rowOff>114300</xdr:rowOff>
    </xdr:from>
    <xdr:to>
      <xdr:col>7</xdr:col>
      <xdr:colOff>561975</xdr:colOff>
      <xdr:row>89</xdr:row>
      <xdr:rowOff>28575</xdr:rowOff>
    </xdr:to>
    <xdr:sp>
      <xdr:nvSpPr>
        <xdr:cNvPr id="83" name="Line 176"/>
        <xdr:cNvSpPr>
          <a:spLocks/>
        </xdr:cNvSpPr>
      </xdr:nvSpPr>
      <xdr:spPr>
        <a:xfrm flipV="1">
          <a:off x="5676900" y="12582525"/>
          <a:ext cx="114300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85</xdr:row>
      <xdr:rowOff>114300</xdr:rowOff>
    </xdr:from>
    <xdr:to>
      <xdr:col>7</xdr:col>
      <xdr:colOff>409575</xdr:colOff>
      <xdr:row>89</xdr:row>
      <xdr:rowOff>38100</xdr:rowOff>
    </xdr:to>
    <xdr:sp>
      <xdr:nvSpPr>
        <xdr:cNvPr id="84" name="Line 177"/>
        <xdr:cNvSpPr>
          <a:spLocks/>
        </xdr:cNvSpPr>
      </xdr:nvSpPr>
      <xdr:spPr>
        <a:xfrm flipH="1" flipV="1">
          <a:off x="5553075" y="12582525"/>
          <a:ext cx="1114425" cy="638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84</xdr:row>
      <xdr:rowOff>9525</xdr:rowOff>
    </xdr:from>
    <xdr:to>
      <xdr:col>8</xdr:col>
      <xdr:colOff>38100</xdr:colOff>
      <xdr:row>86</xdr:row>
      <xdr:rowOff>19050</xdr:rowOff>
    </xdr:to>
    <xdr:sp>
      <xdr:nvSpPr>
        <xdr:cNvPr id="85" name="Line 178"/>
        <xdr:cNvSpPr>
          <a:spLocks/>
        </xdr:cNvSpPr>
      </xdr:nvSpPr>
      <xdr:spPr>
        <a:xfrm flipH="1">
          <a:off x="6353175" y="12306300"/>
          <a:ext cx="638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85</xdr:row>
      <xdr:rowOff>114300</xdr:rowOff>
    </xdr:from>
    <xdr:to>
      <xdr:col>7</xdr:col>
      <xdr:colOff>104775</xdr:colOff>
      <xdr:row>85</xdr:row>
      <xdr:rowOff>114300</xdr:rowOff>
    </xdr:to>
    <xdr:sp>
      <xdr:nvSpPr>
        <xdr:cNvPr id="86" name="Line 179"/>
        <xdr:cNvSpPr>
          <a:spLocks/>
        </xdr:cNvSpPr>
      </xdr:nvSpPr>
      <xdr:spPr>
        <a:xfrm>
          <a:off x="5972175" y="12582525"/>
          <a:ext cx="3905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86</xdr:row>
      <xdr:rowOff>142875</xdr:rowOff>
    </xdr:from>
    <xdr:to>
      <xdr:col>7</xdr:col>
      <xdr:colOff>180975</xdr:colOff>
      <xdr:row>87</xdr:row>
      <xdr:rowOff>76200</xdr:rowOff>
    </xdr:to>
    <xdr:sp>
      <xdr:nvSpPr>
        <xdr:cNvPr id="87" name="Line 180"/>
        <xdr:cNvSpPr>
          <a:spLocks/>
        </xdr:cNvSpPr>
      </xdr:nvSpPr>
      <xdr:spPr>
        <a:xfrm flipV="1">
          <a:off x="6086475" y="12792075"/>
          <a:ext cx="352425" cy="114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85</xdr:row>
      <xdr:rowOff>114300</xdr:rowOff>
    </xdr:from>
    <xdr:to>
      <xdr:col>6</xdr:col>
      <xdr:colOff>552450</xdr:colOff>
      <xdr:row>86</xdr:row>
      <xdr:rowOff>123825</xdr:rowOff>
    </xdr:to>
    <xdr:sp>
      <xdr:nvSpPr>
        <xdr:cNvPr id="88" name="Line 181"/>
        <xdr:cNvSpPr>
          <a:spLocks/>
        </xdr:cNvSpPr>
      </xdr:nvSpPr>
      <xdr:spPr>
        <a:xfrm flipV="1">
          <a:off x="5876925" y="12582525"/>
          <a:ext cx="85725" cy="1905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86</xdr:row>
      <xdr:rowOff>123825</xdr:rowOff>
    </xdr:from>
    <xdr:to>
      <xdr:col>6</xdr:col>
      <xdr:colOff>676275</xdr:colOff>
      <xdr:row>87</xdr:row>
      <xdr:rowOff>85725</xdr:rowOff>
    </xdr:to>
    <xdr:sp>
      <xdr:nvSpPr>
        <xdr:cNvPr id="89" name="Line 182"/>
        <xdr:cNvSpPr>
          <a:spLocks/>
        </xdr:cNvSpPr>
      </xdr:nvSpPr>
      <xdr:spPr>
        <a:xfrm flipH="1" flipV="1">
          <a:off x="5876925" y="12773025"/>
          <a:ext cx="209550" cy="1428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85</xdr:row>
      <xdr:rowOff>133350</xdr:rowOff>
    </xdr:from>
    <xdr:to>
      <xdr:col>7</xdr:col>
      <xdr:colOff>180975</xdr:colOff>
      <xdr:row>86</xdr:row>
      <xdr:rowOff>133350</xdr:rowOff>
    </xdr:to>
    <xdr:sp>
      <xdr:nvSpPr>
        <xdr:cNvPr id="90" name="Line 183"/>
        <xdr:cNvSpPr>
          <a:spLocks/>
        </xdr:cNvSpPr>
      </xdr:nvSpPr>
      <xdr:spPr>
        <a:xfrm flipH="1" flipV="1">
          <a:off x="6362700" y="12601575"/>
          <a:ext cx="76200" cy="1809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89</xdr:row>
      <xdr:rowOff>38100</xdr:rowOff>
    </xdr:from>
    <xdr:to>
      <xdr:col>7</xdr:col>
      <xdr:colOff>561975</xdr:colOff>
      <xdr:row>89</xdr:row>
      <xdr:rowOff>142875</xdr:rowOff>
    </xdr:to>
    <xdr:sp>
      <xdr:nvSpPr>
        <xdr:cNvPr id="91" name="Line 184"/>
        <xdr:cNvSpPr>
          <a:spLocks/>
        </xdr:cNvSpPr>
      </xdr:nvSpPr>
      <xdr:spPr>
        <a:xfrm flipH="1" flipV="1">
          <a:off x="6286500" y="13220700"/>
          <a:ext cx="533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28575</xdr:rowOff>
    </xdr:from>
    <xdr:to>
      <xdr:col>6</xdr:col>
      <xdr:colOff>323850</xdr:colOff>
      <xdr:row>48</xdr:row>
      <xdr:rowOff>142875</xdr:rowOff>
    </xdr:to>
    <xdr:sp>
      <xdr:nvSpPr>
        <xdr:cNvPr id="92" name="Line 191"/>
        <xdr:cNvSpPr>
          <a:spLocks/>
        </xdr:cNvSpPr>
      </xdr:nvSpPr>
      <xdr:spPr>
        <a:xfrm flipH="1">
          <a:off x="5486400" y="5514975"/>
          <a:ext cx="247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48</xdr:row>
      <xdr:rowOff>142875</xdr:rowOff>
    </xdr:from>
    <xdr:to>
      <xdr:col>6</xdr:col>
      <xdr:colOff>342900</xdr:colOff>
      <xdr:row>51</xdr:row>
      <xdr:rowOff>76200</xdr:rowOff>
    </xdr:to>
    <xdr:sp>
      <xdr:nvSpPr>
        <xdr:cNvPr id="93" name="Line 193"/>
        <xdr:cNvSpPr>
          <a:spLocks/>
        </xdr:cNvSpPr>
      </xdr:nvSpPr>
      <xdr:spPr>
        <a:xfrm>
          <a:off x="5514975" y="6019800"/>
          <a:ext cx="238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48</xdr:row>
      <xdr:rowOff>104775</xdr:rowOff>
    </xdr:from>
    <xdr:to>
      <xdr:col>7</xdr:col>
      <xdr:colOff>600075</xdr:colOff>
      <xdr:row>51</xdr:row>
      <xdr:rowOff>66675</xdr:rowOff>
    </xdr:to>
    <xdr:sp>
      <xdr:nvSpPr>
        <xdr:cNvPr id="94" name="Line 194"/>
        <xdr:cNvSpPr>
          <a:spLocks/>
        </xdr:cNvSpPr>
      </xdr:nvSpPr>
      <xdr:spPr>
        <a:xfrm flipH="1">
          <a:off x="6591300" y="5981700"/>
          <a:ext cx="266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44</xdr:row>
      <xdr:rowOff>114300</xdr:rowOff>
    </xdr:from>
    <xdr:to>
      <xdr:col>7</xdr:col>
      <xdr:colOff>66675</xdr:colOff>
      <xdr:row>45</xdr:row>
      <xdr:rowOff>114300</xdr:rowOff>
    </xdr:to>
    <xdr:sp>
      <xdr:nvSpPr>
        <xdr:cNvPr id="95" name="TextBox 207"/>
        <xdr:cNvSpPr txBox="1">
          <a:spLocks noChangeArrowheads="1"/>
        </xdr:cNvSpPr>
      </xdr:nvSpPr>
      <xdr:spPr>
        <a:xfrm>
          <a:off x="5991225" y="5257800"/>
          <a:ext cx="333375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7</xdr:col>
      <xdr:colOff>447675</xdr:colOff>
      <xdr:row>45</xdr:row>
      <xdr:rowOff>142875</xdr:rowOff>
    </xdr:from>
    <xdr:to>
      <xdr:col>7</xdr:col>
      <xdr:colOff>619125</xdr:colOff>
      <xdr:row>46</xdr:row>
      <xdr:rowOff>142875</xdr:rowOff>
    </xdr:to>
    <xdr:sp>
      <xdr:nvSpPr>
        <xdr:cNvPr id="96" name="TextBox 208"/>
        <xdr:cNvSpPr txBox="1">
          <a:spLocks noChangeArrowheads="1"/>
        </xdr:cNvSpPr>
      </xdr:nvSpPr>
      <xdr:spPr>
        <a:xfrm>
          <a:off x="6705600" y="54578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
B</a:t>
          </a:r>
        </a:p>
      </xdr:txBody>
    </xdr:sp>
    <xdr:clientData/>
  </xdr:twoCellAnchor>
  <xdr:twoCellAnchor>
    <xdr:from>
      <xdr:col>6</xdr:col>
      <xdr:colOff>333375</xdr:colOff>
      <xdr:row>46</xdr:row>
      <xdr:rowOff>0</xdr:rowOff>
    </xdr:from>
    <xdr:to>
      <xdr:col>7</xdr:col>
      <xdr:colOff>571500</xdr:colOff>
      <xdr:row>48</xdr:row>
      <xdr:rowOff>123825</xdr:rowOff>
    </xdr:to>
    <xdr:sp>
      <xdr:nvSpPr>
        <xdr:cNvPr id="97" name="Line 209"/>
        <xdr:cNvSpPr>
          <a:spLocks/>
        </xdr:cNvSpPr>
      </xdr:nvSpPr>
      <xdr:spPr>
        <a:xfrm>
          <a:off x="5743575" y="5486400"/>
          <a:ext cx="1085850" cy="5143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20</xdr:row>
      <xdr:rowOff>28575</xdr:rowOff>
    </xdr:from>
    <xdr:to>
      <xdr:col>2</xdr:col>
      <xdr:colOff>800100</xdr:colOff>
      <xdr:row>22</xdr:row>
      <xdr:rowOff>85725</xdr:rowOff>
    </xdr:to>
    <xdr:sp>
      <xdr:nvSpPr>
        <xdr:cNvPr id="98" name="TextBox 211"/>
        <xdr:cNvSpPr txBox="1">
          <a:spLocks noChangeArrowheads="1"/>
        </xdr:cNvSpPr>
      </xdr:nvSpPr>
      <xdr:spPr>
        <a:xfrm>
          <a:off x="2371725" y="3648075"/>
          <a:ext cx="571500" cy="4286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342900</xdr:colOff>
      <xdr:row>20</xdr:row>
      <xdr:rowOff>76200</xdr:rowOff>
    </xdr:from>
    <xdr:to>
      <xdr:col>2</xdr:col>
      <xdr:colOff>723900</xdr:colOff>
      <xdr:row>20</xdr:row>
      <xdr:rowOff>85725</xdr:rowOff>
    </xdr:to>
    <xdr:sp>
      <xdr:nvSpPr>
        <xdr:cNvPr id="99" name="Line 212"/>
        <xdr:cNvSpPr>
          <a:spLocks/>
        </xdr:cNvSpPr>
      </xdr:nvSpPr>
      <xdr:spPr>
        <a:xfrm>
          <a:off x="2486025" y="3695700"/>
          <a:ext cx="381000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20</xdr:row>
      <xdr:rowOff>38100</xdr:rowOff>
    </xdr:from>
    <xdr:to>
      <xdr:col>4</xdr:col>
      <xdr:colOff>123825</xdr:colOff>
      <xdr:row>22</xdr:row>
      <xdr:rowOff>95250</xdr:rowOff>
    </xdr:to>
    <xdr:sp>
      <xdr:nvSpPr>
        <xdr:cNvPr id="100" name="TextBox 213"/>
        <xdr:cNvSpPr txBox="1">
          <a:spLocks noChangeArrowheads="1"/>
        </xdr:cNvSpPr>
      </xdr:nvSpPr>
      <xdr:spPr>
        <a:xfrm>
          <a:off x="3333750" y="3657600"/>
          <a:ext cx="581025" cy="4286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3</xdr:col>
      <xdr:colOff>495300</xdr:colOff>
      <xdr:row>20</xdr:row>
      <xdr:rowOff>152400</xdr:rowOff>
    </xdr:from>
    <xdr:to>
      <xdr:col>3</xdr:col>
      <xdr:colOff>752475</xdr:colOff>
      <xdr:row>20</xdr:row>
      <xdr:rowOff>152400</xdr:rowOff>
    </xdr:to>
    <xdr:sp>
      <xdr:nvSpPr>
        <xdr:cNvPr id="101" name="Line 214"/>
        <xdr:cNvSpPr>
          <a:spLocks/>
        </xdr:cNvSpPr>
      </xdr:nvSpPr>
      <xdr:spPr>
        <a:xfrm flipV="1">
          <a:off x="3457575" y="3771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20</xdr:row>
      <xdr:rowOff>28575</xdr:rowOff>
    </xdr:from>
    <xdr:to>
      <xdr:col>5</xdr:col>
      <xdr:colOff>257175</xdr:colOff>
      <xdr:row>22</xdr:row>
      <xdr:rowOff>85725</xdr:rowOff>
    </xdr:to>
    <xdr:sp>
      <xdr:nvSpPr>
        <xdr:cNvPr id="102" name="TextBox 216"/>
        <xdr:cNvSpPr txBox="1">
          <a:spLocks noChangeArrowheads="1"/>
        </xdr:cNvSpPr>
      </xdr:nvSpPr>
      <xdr:spPr>
        <a:xfrm>
          <a:off x="4238625" y="3648075"/>
          <a:ext cx="657225" cy="4286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571500</xdr:colOff>
      <xdr:row>20</xdr:row>
      <xdr:rowOff>142875</xdr:rowOff>
    </xdr:from>
    <xdr:to>
      <xdr:col>5</xdr:col>
      <xdr:colOff>66675</xdr:colOff>
      <xdr:row>20</xdr:row>
      <xdr:rowOff>142875</xdr:rowOff>
    </xdr:to>
    <xdr:sp>
      <xdr:nvSpPr>
        <xdr:cNvPr id="103" name="Line 217"/>
        <xdr:cNvSpPr>
          <a:spLocks/>
        </xdr:cNvSpPr>
      </xdr:nvSpPr>
      <xdr:spPr>
        <a:xfrm flipV="1">
          <a:off x="4362450" y="3762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85725</xdr:rowOff>
    </xdr:from>
    <xdr:to>
      <xdr:col>4</xdr:col>
      <xdr:colOff>361950</xdr:colOff>
      <xdr:row>21</xdr:row>
      <xdr:rowOff>85725</xdr:rowOff>
    </xdr:to>
    <xdr:sp>
      <xdr:nvSpPr>
        <xdr:cNvPr id="104" name="Line 219"/>
        <xdr:cNvSpPr>
          <a:spLocks/>
        </xdr:cNvSpPr>
      </xdr:nvSpPr>
      <xdr:spPr>
        <a:xfrm>
          <a:off x="3990975" y="38862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47625</xdr:rowOff>
    </xdr:from>
    <xdr:to>
      <xdr:col>3</xdr:col>
      <xdr:colOff>247650</xdr:colOff>
      <xdr:row>21</xdr:row>
      <xdr:rowOff>47625</xdr:rowOff>
    </xdr:to>
    <xdr:sp>
      <xdr:nvSpPr>
        <xdr:cNvPr id="105" name="Line 220"/>
        <xdr:cNvSpPr>
          <a:spLocks/>
        </xdr:cNvSpPr>
      </xdr:nvSpPr>
      <xdr:spPr>
        <a:xfrm>
          <a:off x="3048000" y="38481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142875</xdr:rowOff>
    </xdr:from>
    <xdr:to>
      <xdr:col>3</xdr:col>
      <xdr:colOff>247650</xdr:colOff>
      <xdr:row>21</xdr:row>
      <xdr:rowOff>142875</xdr:rowOff>
    </xdr:to>
    <xdr:sp>
      <xdr:nvSpPr>
        <xdr:cNvPr id="106" name="Line 221"/>
        <xdr:cNvSpPr>
          <a:spLocks/>
        </xdr:cNvSpPr>
      </xdr:nvSpPr>
      <xdr:spPr>
        <a:xfrm>
          <a:off x="3048000" y="394335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6</xdr:row>
      <xdr:rowOff>66675</xdr:rowOff>
    </xdr:from>
    <xdr:to>
      <xdr:col>3</xdr:col>
      <xdr:colOff>447675</xdr:colOff>
      <xdr:row>8</xdr:row>
      <xdr:rowOff>133350</xdr:rowOff>
    </xdr:to>
    <xdr:sp>
      <xdr:nvSpPr>
        <xdr:cNvPr id="107" name="TextBox 222"/>
        <xdr:cNvSpPr txBox="1">
          <a:spLocks noChangeArrowheads="1"/>
        </xdr:cNvSpPr>
      </xdr:nvSpPr>
      <xdr:spPr>
        <a:xfrm>
          <a:off x="2838450" y="1152525"/>
          <a:ext cx="571500" cy="4572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600075</xdr:colOff>
      <xdr:row>6</xdr:row>
      <xdr:rowOff>66675</xdr:rowOff>
    </xdr:from>
    <xdr:to>
      <xdr:col>1</xdr:col>
      <xdr:colOff>1171575</xdr:colOff>
      <xdr:row>8</xdr:row>
      <xdr:rowOff>133350</xdr:rowOff>
    </xdr:to>
    <xdr:sp>
      <xdr:nvSpPr>
        <xdr:cNvPr id="108" name="TextBox 223"/>
        <xdr:cNvSpPr txBox="1">
          <a:spLocks noChangeArrowheads="1"/>
        </xdr:cNvSpPr>
      </xdr:nvSpPr>
      <xdr:spPr>
        <a:xfrm>
          <a:off x="1524000" y="1152525"/>
          <a:ext cx="571500" cy="4572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257175</xdr:colOff>
      <xdr:row>6</xdr:row>
      <xdr:rowOff>161925</xdr:rowOff>
    </xdr:from>
    <xdr:to>
      <xdr:col>2</xdr:col>
      <xdr:colOff>447675</xdr:colOff>
      <xdr:row>8</xdr:row>
      <xdr:rowOff>0</xdr:rowOff>
    </xdr:to>
    <xdr:sp>
      <xdr:nvSpPr>
        <xdr:cNvPr id="109" name="Line 225"/>
        <xdr:cNvSpPr>
          <a:spLocks/>
        </xdr:cNvSpPr>
      </xdr:nvSpPr>
      <xdr:spPr>
        <a:xfrm>
          <a:off x="2400300" y="1247775"/>
          <a:ext cx="19050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161925</xdr:rowOff>
    </xdr:from>
    <xdr:to>
      <xdr:col>2</xdr:col>
      <xdr:colOff>447675</xdr:colOff>
      <xdr:row>8</xdr:row>
      <xdr:rowOff>0</xdr:rowOff>
    </xdr:to>
    <xdr:sp>
      <xdr:nvSpPr>
        <xdr:cNvPr id="110" name="Line 226"/>
        <xdr:cNvSpPr>
          <a:spLocks/>
        </xdr:cNvSpPr>
      </xdr:nvSpPr>
      <xdr:spPr>
        <a:xfrm flipV="1">
          <a:off x="2400300" y="1247775"/>
          <a:ext cx="19050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285750</xdr:colOff>
      <xdr:row>7</xdr:row>
      <xdr:rowOff>9525</xdr:rowOff>
    </xdr:to>
    <xdr:sp>
      <xdr:nvSpPr>
        <xdr:cNvPr id="111" name="Line 227"/>
        <xdr:cNvSpPr>
          <a:spLocks/>
        </xdr:cNvSpPr>
      </xdr:nvSpPr>
      <xdr:spPr>
        <a:xfrm flipV="1">
          <a:off x="2990850" y="1266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9525</xdr:rowOff>
    </xdr:from>
    <xdr:to>
      <xdr:col>1</xdr:col>
      <xdr:colOff>981075</xdr:colOff>
      <xdr:row>7</xdr:row>
      <xdr:rowOff>9525</xdr:rowOff>
    </xdr:to>
    <xdr:sp>
      <xdr:nvSpPr>
        <xdr:cNvPr id="112" name="Line 228"/>
        <xdr:cNvSpPr>
          <a:spLocks/>
        </xdr:cNvSpPr>
      </xdr:nvSpPr>
      <xdr:spPr>
        <a:xfrm flipV="1">
          <a:off x="1647825" y="1266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48</xdr:row>
      <xdr:rowOff>28575</xdr:rowOff>
    </xdr:from>
    <xdr:to>
      <xdr:col>15</xdr:col>
      <xdr:colOff>685800</xdr:colOff>
      <xdr:row>50</xdr:row>
      <xdr:rowOff>85725</xdr:rowOff>
    </xdr:to>
    <xdr:sp>
      <xdr:nvSpPr>
        <xdr:cNvPr id="113" name="TextBox 254"/>
        <xdr:cNvSpPr txBox="1">
          <a:spLocks noChangeArrowheads="1"/>
        </xdr:cNvSpPr>
      </xdr:nvSpPr>
      <xdr:spPr>
        <a:xfrm>
          <a:off x="13077825" y="5905500"/>
          <a:ext cx="457200" cy="4095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15</xdr:col>
      <xdr:colOff>342900</xdr:colOff>
      <xdr:row>48</xdr:row>
      <xdr:rowOff>76200</xdr:rowOff>
    </xdr:from>
    <xdr:to>
      <xdr:col>15</xdr:col>
      <xdr:colOff>685800</xdr:colOff>
      <xdr:row>48</xdr:row>
      <xdr:rowOff>85725</xdr:rowOff>
    </xdr:to>
    <xdr:sp>
      <xdr:nvSpPr>
        <xdr:cNvPr id="114" name="Line 255"/>
        <xdr:cNvSpPr>
          <a:spLocks/>
        </xdr:cNvSpPr>
      </xdr:nvSpPr>
      <xdr:spPr>
        <a:xfrm>
          <a:off x="13192125" y="5953125"/>
          <a:ext cx="342900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51</xdr:row>
      <xdr:rowOff>47625</xdr:rowOff>
    </xdr:from>
    <xdr:to>
      <xdr:col>7</xdr:col>
      <xdr:colOff>314325</xdr:colOff>
      <xdr:row>51</xdr:row>
      <xdr:rowOff>47625</xdr:rowOff>
    </xdr:to>
    <xdr:sp>
      <xdr:nvSpPr>
        <xdr:cNvPr id="115" name="Line 261"/>
        <xdr:cNvSpPr>
          <a:spLocks/>
        </xdr:cNvSpPr>
      </xdr:nvSpPr>
      <xdr:spPr>
        <a:xfrm flipH="1">
          <a:off x="5762625" y="64579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45</xdr:row>
      <xdr:rowOff>161925</xdr:rowOff>
    </xdr:from>
    <xdr:to>
      <xdr:col>7</xdr:col>
      <xdr:colOff>304800</xdr:colOff>
      <xdr:row>45</xdr:row>
      <xdr:rowOff>161925</xdr:rowOff>
    </xdr:to>
    <xdr:sp>
      <xdr:nvSpPr>
        <xdr:cNvPr id="116" name="Line 197"/>
        <xdr:cNvSpPr>
          <a:spLocks/>
        </xdr:cNvSpPr>
      </xdr:nvSpPr>
      <xdr:spPr>
        <a:xfrm flipH="1" flipV="1">
          <a:off x="5753100" y="5476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46</xdr:row>
      <xdr:rowOff>0</xdr:rowOff>
    </xdr:from>
    <xdr:to>
      <xdr:col>7</xdr:col>
      <xdr:colOff>581025</xdr:colOff>
      <xdr:row>48</xdr:row>
      <xdr:rowOff>85725</xdr:rowOff>
    </xdr:to>
    <xdr:sp>
      <xdr:nvSpPr>
        <xdr:cNvPr id="117" name="Line 199"/>
        <xdr:cNvSpPr>
          <a:spLocks/>
        </xdr:cNvSpPr>
      </xdr:nvSpPr>
      <xdr:spPr>
        <a:xfrm>
          <a:off x="6572250" y="5486400"/>
          <a:ext cx="266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45</xdr:row>
      <xdr:rowOff>76200</xdr:rowOff>
    </xdr:from>
    <xdr:to>
      <xdr:col>12</xdr:col>
      <xdr:colOff>600075</xdr:colOff>
      <xdr:row>52</xdr:row>
      <xdr:rowOff>0</xdr:rowOff>
    </xdr:to>
    <xdr:sp>
      <xdr:nvSpPr>
        <xdr:cNvPr id="118" name="Oval 263"/>
        <xdr:cNvSpPr>
          <a:spLocks/>
        </xdr:cNvSpPr>
      </xdr:nvSpPr>
      <xdr:spPr>
        <a:xfrm>
          <a:off x="9877425" y="5391150"/>
          <a:ext cx="1343025" cy="1190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44</xdr:row>
      <xdr:rowOff>142875</xdr:rowOff>
    </xdr:from>
    <xdr:to>
      <xdr:col>12</xdr:col>
      <xdr:colOff>428625</xdr:colOff>
      <xdr:row>45</xdr:row>
      <xdr:rowOff>142875</xdr:rowOff>
    </xdr:to>
    <xdr:sp>
      <xdr:nvSpPr>
        <xdr:cNvPr id="119" name="TextBox 264">
          <a:hlinkClick r:id="rId11"/>
        </xdr:cNvPr>
        <xdr:cNvSpPr txBox="1">
          <a:spLocks noChangeArrowheads="1"/>
        </xdr:cNvSpPr>
      </xdr:nvSpPr>
      <xdr:spPr>
        <a:xfrm>
          <a:off x="10877550" y="52863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13</xdr:col>
      <xdr:colOff>85725</xdr:colOff>
      <xdr:row>44</xdr:row>
      <xdr:rowOff>104775</xdr:rowOff>
    </xdr:from>
    <xdr:to>
      <xdr:col>13</xdr:col>
      <xdr:colOff>257175</xdr:colOff>
      <xdr:row>45</xdr:row>
      <xdr:rowOff>95250</xdr:rowOff>
    </xdr:to>
    <xdr:sp>
      <xdr:nvSpPr>
        <xdr:cNvPr id="120" name="TextBox 265"/>
        <xdr:cNvSpPr txBox="1">
          <a:spLocks noChangeArrowheads="1"/>
        </xdr:cNvSpPr>
      </xdr:nvSpPr>
      <xdr:spPr>
        <a:xfrm>
          <a:off x="11477625" y="52482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11</xdr:col>
      <xdr:colOff>638175</xdr:colOff>
      <xdr:row>47</xdr:row>
      <xdr:rowOff>76200</xdr:rowOff>
    </xdr:from>
    <xdr:to>
      <xdr:col>12</xdr:col>
      <xdr:colOff>171450</xdr:colOff>
      <xdr:row>49</xdr:row>
      <xdr:rowOff>0</xdr:rowOff>
    </xdr:to>
    <xdr:sp>
      <xdr:nvSpPr>
        <xdr:cNvPr id="121" name="TextBox 266"/>
        <xdr:cNvSpPr txBox="1">
          <a:spLocks noChangeArrowheads="1"/>
        </xdr:cNvSpPr>
      </xdr:nvSpPr>
      <xdr:spPr>
        <a:xfrm>
          <a:off x="10439400" y="5734050"/>
          <a:ext cx="352425" cy="3238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11</xdr:col>
      <xdr:colOff>76200</xdr:colOff>
      <xdr:row>46</xdr:row>
      <xdr:rowOff>28575</xdr:rowOff>
    </xdr:from>
    <xdr:to>
      <xdr:col>11</xdr:col>
      <xdr:colOff>323850</xdr:colOff>
      <xdr:row>48</xdr:row>
      <xdr:rowOff>142875</xdr:rowOff>
    </xdr:to>
    <xdr:sp>
      <xdr:nvSpPr>
        <xdr:cNvPr id="122" name="Line 267"/>
        <xdr:cNvSpPr>
          <a:spLocks/>
        </xdr:cNvSpPr>
      </xdr:nvSpPr>
      <xdr:spPr>
        <a:xfrm flipH="1">
          <a:off x="9877425" y="5514975"/>
          <a:ext cx="247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48</xdr:row>
      <xdr:rowOff>142875</xdr:rowOff>
    </xdr:from>
    <xdr:to>
      <xdr:col>11</xdr:col>
      <xdr:colOff>342900</xdr:colOff>
      <xdr:row>51</xdr:row>
      <xdr:rowOff>76200</xdr:rowOff>
    </xdr:to>
    <xdr:sp>
      <xdr:nvSpPr>
        <xdr:cNvPr id="123" name="Line 268"/>
        <xdr:cNvSpPr>
          <a:spLocks/>
        </xdr:cNvSpPr>
      </xdr:nvSpPr>
      <xdr:spPr>
        <a:xfrm>
          <a:off x="9906000" y="6019800"/>
          <a:ext cx="238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48</xdr:row>
      <xdr:rowOff>104775</xdr:rowOff>
    </xdr:from>
    <xdr:to>
      <xdr:col>12</xdr:col>
      <xdr:colOff>600075</xdr:colOff>
      <xdr:row>51</xdr:row>
      <xdr:rowOff>66675</xdr:rowOff>
    </xdr:to>
    <xdr:sp>
      <xdr:nvSpPr>
        <xdr:cNvPr id="124" name="Line 269"/>
        <xdr:cNvSpPr>
          <a:spLocks/>
        </xdr:cNvSpPr>
      </xdr:nvSpPr>
      <xdr:spPr>
        <a:xfrm flipH="1">
          <a:off x="10953750" y="5981700"/>
          <a:ext cx="266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44</xdr:row>
      <xdr:rowOff>114300</xdr:rowOff>
    </xdr:from>
    <xdr:to>
      <xdr:col>12</xdr:col>
      <xdr:colOff>66675</xdr:colOff>
      <xdr:row>45</xdr:row>
      <xdr:rowOff>114300</xdr:rowOff>
    </xdr:to>
    <xdr:sp>
      <xdr:nvSpPr>
        <xdr:cNvPr id="125" name="TextBox 270"/>
        <xdr:cNvSpPr txBox="1">
          <a:spLocks noChangeArrowheads="1"/>
        </xdr:cNvSpPr>
      </xdr:nvSpPr>
      <xdr:spPr>
        <a:xfrm>
          <a:off x="10382250" y="5257800"/>
          <a:ext cx="30480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12</xdr:col>
      <xdr:colOff>447675</xdr:colOff>
      <xdr:row>45</xdr:row>
      <xdr:rowOff>142875</xdr:rowOff>
    </xdr:from>
    <xdr:to>
      <xdr:col>12</xdr:col>
      <xdr:colOff>619125</xdr:colOff>
      <xdr:row>46</xdr:row>
      <xdr:rowOff>142875</xdr:rowOff>
    </xdr:to>
    <xdr:sp>
      <xdr:nvSpPr>
        <xdr:cNvPr id="126" name="TextBox 271"/>
        <xdr:cNvSpPr txBox="1">
          <a:spLocks noChangeArrowheads="1"/>
        </xdr:cNvSpPr>
      </xdr:nvSpPr>
      <xdr:spPr>
        <a:xfrm>
          <a:off x="11068050" y="54578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
B</a:t>
          </a:r>
        </a:p>
      </xdr:txBody>
    </xdr:sp>
    <xdr:clientData/>
  </xdr:twoCellAnchor>
  <xdr:twoCellAnchor>
    <xdr:from>
      <xdr:col>11</xdr:col>
      <xdr:colOff>333375</xdr:colOff>
      <xdr:row>46</xdr:row>
      <xdr:rowOff>0</xdr:rowOff>
    </xdr:from>
    <xdr:to>
      <xdr:col>12</xdr:col>
      <xdr:colOff>571500</xdr:colOff>
      <xdr:row>48</xdr:row>
      <xdr:rowOff>123825</xdr:rowOff>
    </xdr:to>
    <xdr:sp>
      <xdr:nvSpPr>
        <xdr:cNvPr id="127" name="Line 272"/>
        <xdr:cNvSpPr>
          <a:spLocks/>
        </xdr:cNvSpPr>
      </xdr:nvSpPr>
      <xdr:spPr>
        <a:xfrm>
          <a:off x="10134600" y="5486400"/>
          <a:ext cx="1057275" cy="5143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51</xdr:row>
      <xdr:rowOff>47625</xdr:rowOff>
    </xdr:from>
    <xdr:to>
      <xdr:col>12</xdr:col>
      <xdr:colOff>314325</xdr:colOff>
      <xdr:row>51</xdr:row>
      <xdr:rowOff>47625</xdr:rowOff>
    </xdr:to>
    <xdr:sp>
      <xdr:nvSpPr>
        <xdr:cNvPr id="128" name="Line 273"/>
        <xdr:cNvSpPr>
          <a:spLocks/>
        </xdr:cNvSpPr>
      </xdr:nvSpPr>
      <xdr:spPr>
        <a:xfrm flipH="1">
          <a:off x="10153650" y="6457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45</xdr:row>
      <xdr:rowOff>161925</xdr:rowOff>
    </xdr:from>
    <xdr:to>
      <xdr:col>12</xdr:col>
      <xdr:colOff>304800</xdr:colOff>
      <xdr:row>45</xdr:row>
      <xdr:rowOff>161925</xdr:rowOff>
    </xdr:to>
    <xdr:sp>
      <xdr:nvSpPr>
        <xdr:cNvPr id="129" name="Line 274"/>
        <xdr:cNvSpPr>
          <a:spLocks/>
        </xdr:cNvSpPr>
      </xdr:nvSpPr>
      <xdr:spPr>
        <a:xfrm flipH="1" flipV="1">
          <a:off x="10144125" y="54768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46</xdr:row>
      <xdr:rowOff>0</xdr:rowOff>
    </xdr:from>
    <xdr:to>
      <xdr:col>12</xdr:col>
      <xdr:colOff>581025</xdr:colOff>
      <xdr:row>48</xdr:row>
      <xdr:rowOff>85725</xdr:rowOff>
    </xdr:to>
    <xdr:sp>
      <xdr:nvSpPr>
        <xdr:cNvPr id="130" name="Line 275"/>
        <xdr:cNvSpPr>
          <a:spLocks/>
        </xdr:cNvSpPr>
      </xdr:nvSpPr>
      <xdr:spPr>
        <a:xfrm>
          <a:off x="10934700" y="5486400"/>
          <a:ext cx="266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7</xdr:row>
      <xdr:rowOff>9525</xdr:rowOff>
    </xdr:from>
    <xdr:to>
      <xdr:col>4</xdr:col>
      <xdr:colOff>142875</xdr:colOff>
      <xdr:row>7</xdr:row>
      <xdr:rowOff>28575</xdr:rowOff>
    </xdr:to>
    <xdr:sp>
      <xdr:nvSpPr>
        <xdr:cNvPr id="131" name="Line 277"/>
        <xdr:cNvSpPr>
          <a:spLocks/>
        </xdr:cNvSpPr>
      </xdr:nvSpPr>
      <xdr:spPr>
        <a:xfrm>
          <a:off x="3657600" y="1266825"/>
          <a:ext cx="27622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7</xdr:row>
      <xdr:rowOff>142875</xdr:rowOff>
    </xdr:from>
    <xdr:to>
      <xdr:col>4</xdr:col>
      <xdr:colOff>152400</xdr:colOff>
      <xdr:row>7</xdr:row>
      <xdr:rowOff>142875</xdr:rowOff>
    </xdr:to>
    <xdr:sp>
      <xdr:nvSpPr>
        <xdr:cNvPr id="132" name="Line 278"/>
        <xdr:cNvSpPr>
          <a:spLocks/>
        </xdr:cNvSpPr>
      </xdr:nvSpPr>
      <xdr:spPr>
        <a:xfrm>
          <a:off x="3676650" y="1400175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7</xdr:row>
      <xdr:rowOff>114300</xdr:rowOff>
    </xdr:from>
    <xdr:to>
      <xdr:col>10</xdr:col>
      <xdr:colOff>552450</xdr:colOff>
      <xdr:row>8</xdr:row>
      <xdr:rowOff>57150</xdr:rowOff>
    </xdr:to>
    <xdr:sp>
      <xdr:nvSpPr>
        <xdr:cNvPr id="133" name="TextBox 290"/>
        <xdr:cNvSpPr txBox="1">
          <a:spLocks noChangeArrowheads="1"/>
        </xdr:cNvSpPr>
      </xdr:nvSpPr>
      <xdr:spPr>
        <a:xfrm>
          <a:off x="8963025" y="13716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10</xdr:col>
      <xdr:colOff>619125</xdr:colOff>
      <xdr:row>8</xdr:row>
      <xdr:rowOff>28575</xdr:rowOff>
    </xdr:from>
    <xdr:to>
      <xdr:col>12</xdr:col>
      <xdr:colOff>485775</xdr:colOff>
      <xdr:row>12</xdr:row>
      <xdr:rowOff>152400</xdr:rowOff>
    </xdr:to>
    <xdr:sp>
      <xdr:nvSpPr>
        <xdr:cNvPr id="134" name="Line 291"/>
        <xdr:cNvSpPr>
          <a:spLocks/>
        </xdr:cNvSpPr>
      </xdr:nvSpPr>
      <xdr:spPr>
        <a:xfrm>
          <a:off x="9201150" y="1504950"/>
          <a:ext cx="1905000" cy="876300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11</xdr:row>
      <xdr:rowOff>76200</xdr:rowOff>
    </xdr:from>
    <xdr:to>
      <xdr:col>12</xdr:col>
      <xdr:colOff>476250</xdr:colOff>
      <xdr:row>12</xdr:row>
      <xdr:rowOff>66675</xdr:rowOff>
    </xdr:to>
    <xdr:sp>
      <xdr:nvSpPr>
        <xdr:cNvPr id="135" name="TextBox 293"/>
        <xdr:cNvSpPr txBox="1">
          <a:spLocks noChangeArrowheads="1"/>
        </xdr:cNvSpPr>
      </xdr:nvSpPr>
      <xdr:spPr>
        <a:xfrm>
          <a:off x="10925175" y="21240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11</xdr:row>
      <xdr:rowOff>123825</xdr:rowOff>
    </xdr:from>
    <xdr:to>
      <xdr:col>11</xdr:col>
      <xdr:colOff>447675</xdr:colOff>
      <xdr:row>12</xdr:row>
      <xdr:rowOff>114300</xdr:rowOff>
    </xdr:to>
    <xdr:sp>
      <xdr:nvSpPr>
        <xdr:cNvPr id="136" name="TextBox 294"/>
        <xdr:cNvSpPr txBox="1">
          <a:spLocks noChangeArrowheads="1"/>
        </xdr:cNvSpPr>
      </xdr:nvSpPr>
      <xdr:spPr>
        <a:xfrm>
          <a:off x="10077450" y="21717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12</xdr:row>
      <xdr:rowOff>161925</xdr:rowOff>
    </xdr:from>
    <xdr:to>
      <xdr:col>11</xdr:col>
      <xdr:colOff>171450</xdr:colOff>
      <xdr:row>13</xdr:row>
      <xdr:rowOff>152400</xdr:rowOff>
    </xdr:to>
    <xdr:sp>
      <xdr:nvSpPr>
        <xdr:cNvPr id="137" name="TextBox 295"/>
        <xdr:cNvSpPr txBox="1">
          <a:spLocks noChangeArrowheads="1"/>
        </xdr:cNvSpPr>
      </xdr:nvSpPr>
      <xdr:spPr>
        <a:xfrm>
          <a:off x="9801225" y="23907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10</xdr:col>
      <xdr:colOff>638175</xdr:colOff>
      <xdr:row>12</xdr:row>
      <xdr:rowOff>152400</xdr:rowOff>
    </xdr:from>
    <xdr:to>
      <xdr:col>11</xdr:col>
      <xdr:colOff>66675</xdr:colOff>
      <xdr:row>12</xdr:row>
      <xdr:rowOff>152400</xdr:rowOff>
    </xdr:to>
    <xdr:sp>
      <xdr:nvSpPr>
        <xdr:cNvPr id="138" name="Line 303"/>
        <xdr:cNvSpPr>
          <a:spLocks/>
        </xdr:cNvSpPr>
      </xdr:nvSpPr>
      <xdr:spPr>
        <a:xfrm flipV="1">
          <a:off x="9220200" y="2381250"/>
          <a:ext cx="647700" cy="0"/>
        </a:xfrm>
        <a:prstGeom prst="line">
          <a:avLst/>
        </a:prstGeom>
        <a:noFill/>
        <a:ln w="38100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8</xdr:row>
      <xdr:rowOff>66675</xdr:rowOff>
    </xdr:from>
    <xdr:to>
      <xdr:col>10</xdr:col>
      <xdr:colOff>638175</xdr:colOff>
      <xdr:row>12</xdr:row>
      <xdr:rowOff>161925</xdr:rowOff>
    </xdr:to>
    <xdr:sp>
      <xdr:nvSpPr>
        <xdr:cNvPr id="139" name="Line 305"/>
        <xdr:cNvSpPr>
          <a:spLocks/>
        </xdr:cNvSpPr>
      </xdr:nvSpPr>
      <xdr:spPr>
        <a:xfrm flipH="1">
          <a:off x="9220200" y="15430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38100</xdr:rowOff>
    </xdr:from>
    <xdr:to>
      <xdr:col>13</xdr:col>
      <xdr:colOff>419100</xdr:colOff>
      <xdr:row>13</xdr:row>
      <xdr:rowOff>152400</xdr:rowOff>
    </xdr:to>
    <xdr:sp>
      <xdr:nvSpPr>
        <xdr:cNvPr id="140" name="Oval 308"/>
        <xdr:cNvSpPr>
          <a:spLocks/>
        </xdr:cNvSpPr>
      </xdr:nvSpPr>
      <xdr:spPr>
        <a:xfrm>
          <a:off x="9182100" y="38100"/>
          <a:ext cx="2628900" cy="2514600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8</xdr:row>
      <xdr:rowOff>28575</xdr:rowOff>
    </xdr:from>
    <xdr:to>
      <xdr:col>11</xdr:col>
      <xdr:colOff>38100</xdr:colOff>
      <xdr:row>12</xdr:row>
      <xdr:rowOff>142875</xdr:rowOff>
    </xdr:to>
    <xdr:sp>
      <xdr:nvSpPr>
        <xdr:cNvPr id="141" name="Line 312"/>
        <xdr:cNvSpPr>
          <a:spLocks/>
        </xdr:cNvSpPr>
      </xdr:nvSpPr>
      <xdr:spPr>
        <a:xfrm flipH="1" flipV="1">
          <a:off x="9220200" y="1504950"/>
          <a:ext cx="619125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161925</xdr:rowOff>
    </xdr:from>
    <xdr:to>
      <xdr:col>12</xdr:col>
      <xdr:colOff>447675</xdr:colOff>
      <xdr:row>12</xdr:row>
      <xdr:rowOff>161925</xdr:rowOff>
    </xdr:to>
    <xdr:sp>
      <xdr:nvSpPr>
        <xdr:cNvPr id="142" name="Line 314"/>
        <xdr:cNvSpPr>
          <a:spLocks/>
        </xdr:cNvSpPr>
      </xdr:nvSpPr>
      <xdr:spPr>
        <a:xfrm>
          <a:off x="9829800" y="2390775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723900</xdr:colOff>
      <xdr:row>1</xdr:row>
      <xdr:rowOff>76200</xdr:rowOff>
    </xdr:from>
    <xdr:to>
      <xdr:col>19</xdr:col>
      <xdr:colOff>123825</xdr:colOff>
      <xdr:row>2</xdr:row>
      <xdr:rowOff>66675</xdr:rowOff>
    </xdr:to>
    <xdr:sp>
      <xdr:nvSpPr>
        <xdr:cNvPr id="143" name="TextBox 317"/>
        <xdr:cNvSpPr txBox="1">
          <a:spLocks noChangeArrowheads="1"/>
        </xdr:cNvSpPr>
      </xdr:nvSpPr>
      <xdr:spPr>
        <a:xfrm>
          <a:off x="16297275" y="2571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16</xdr:col>
      <xdr:colOff>619125</xdr:colOff>
      <xdr:row>8</xdr:row>
      <xdr:rowOff>28575</xdr:rowOff>
    </xdr:from>
    <xdr:to>
      <xdr:col>18</xdr:col>
      <xdr:colOff>485775</xdr:colOff>
      <xdr:row>12</xdr:row>
      <xdr:rowOff>152400</xdr:rowOff>
    </xdr:to>
    <xdr:sp>
      <xdr:nvSpPr>
        <xdr:cNvPr id="144" name="Line 318"/>
        <xdr:cNvSpPr>
          <a:spLocks/>
        </xdr:cNvSpPr>
      </xdr:nvSpPr>
      <xdr:spPr>
        <a:xfrm>
          <a:off x="14154150" y="1504950"/>
          <a:ext cx="1905000" cy="876300"/>
        </a:xfrm>
        <a:prstGeom prst="line">
          <a:avLst/>
        </a:prstGeom>
        <a:noFill/>
        <a:ln w="412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1</xdr:row>
      <xdr:rowOff>76200</xdr:rowOff>
    </xdr:from>
    <xdr:to>
      <xdr:col>19</xdr:col>
      <xdr:colOff>285750</xdr:colOff>
      <xdr:row>2</xdr:row>
      <xdr:rowOff>76200</xdr:rowOff>
    </xdr:to>
    <xdr:sp>
      <xdr:nvSpPr>
        <xdr:cNvPr id="145" name="TextBox 319"/>
        <xdr:cNvSpPr txBox="1">
          <a:spLocks noChangeArrowheads="1"/>
        </xdr:cNvSpPr>
      </xdr:nvSpPr>
      <xdr:spPr>
        <a:xfrm>
          <a:off x="16459200" y="2571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17</xdr:col>
      <xdr:colOff>276225</xdr:colOff>
      <xdr:row>11</xdr:row>
      <xdr:rowOff>123825</xdr:rowOff>
    </xdr:from>
    <xdr:to>
      <xdr:col>17</xdr:col>
      <xdr:colOff>447675</xdr:colOff>
      <xdr:row>12</xdr:row>
      <xdr:rowOff>114300</xdr:rowOff>
    </xdr:to>
    <xdr:sp>
      <xdr:nvSpPr>
        <xdr:cNvPr id="146" name="TextBox 320"/>
        <xdr:cNvSpPr txBox="1">
          <a:spLocks noChangeArrowheads="1"/>
        </xdr:cNvSpPr>
      </xdr:nvSpPr>
      <xdr:spPr>
        <a:xfrm>
          <a:off x="15030450" y="21717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17</xdr:col>
      <xdr:colOff>0</xdr:colOff>
      <xdr:row>12</xdr:row>
      <xdr:rowOff>161925</xdr:rowOff>
    </xdr:from>
    <xdr:to>
      <xdr:col>17</xdr:col>
      <xdr:colOff>171450</xdr:colOff>
      <xdr:row>13</xdr:row>
      <xdr:rowOff>152400</xdr:rowOff>
    </xdr:to>
    <xdr:sp>
      <xdr:nvSpPr>
        <xdr:cNvPr id="147" name="TextBox 321"/>
        <xdr:cNvSpPr txBox="1">
          <a:spLocks noChangeArrowheads="1"/>
        </xdr:cNvSpPr>
      </xdr:nvSpPr>
      <xdr:spPr>
        <a:xfrm>
          <a:off x="14754225" y="23907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16</xdr:col>
      <xdr:colOff>638175</xdr:colOff>
      <xdr:row>12</xdr:row>
      <xdr:rowOff>152400</xdr:rowOff>
    </xdr:from>
    <xdr:to>
      <xdr:col>17</xdr:col>
      <xdr:colOff>66675</xdr:colOff>
      <xdr:row>12</xdr:row>
      <xdr:rowOff>152400</xdr:rowOff>
    </xdr:to>
    <xdr:sp>
      <xdr:nvSpPr>
        <xdr:cNvPr id="148" name="Line 322"/>
        <xdr:cNvSpPr>
          <a:spLocks/>
        </xdr:cNvSpPr>
      </xdr:nvSpPr>
      <xdr:spPr>
        <a:xfrm flipV="1">
          <a:off x="14173200" y="2381250"/>
          <a:ext cx="647700" cy="0"/>
        </a:xfrm>
        <a:prstGeom prst="line">
          <a:avLst/>
        </a:prstGeom>
        <a:noFill/>
        <a:ln w="38100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638175</xdr:colOff>
      <xdr:row>8</xdr:row>
      <xdr:rowOff>66675</xdr:rowOff>
    </xdr:from>
    <xdr:to>
      <xdr:col>16</xdr:col>
      <xdr:colOff>638175</xdr:colOff>
      <xdr:row>12</xdr:row>
      <xdr:rowOff>161925</xdr:rowOff>
    </xdr:to>
    <xdr:sp>
      <xdr:nvSpPr>
        <xdr:cNvPr id="149" name="Line 323"/>
        <xdr:cNvSpPr>
          <a:spLocks/>
        </xdr:cNvSpPr>
      </xdr:nvSpPr>
      <xdr:spPr>
        <a:xfrm flipH="1">
          <a:off x="14173200" y="15430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38100</xdr:rowOff>
    </xdr:from>
    <xdr:to>
      <xdr:col>19</xdr:col>
      <xdr:colOff>419100</xdr:colOff>
      <xdr:row>13</xdr:row>
      <xdr:rowOff>152400</xdr:rowOff>
    </xdr:to>
    <xdr:sp>
      <xdr:nvSpPr>
        <xdr:cNvPr id="150" name="Oval 324"/>
        <xdr:cNvSpPr>
          <a:spLocks/>
        </xdr:cNvSpPr>
      </xdr:nvSpPr>
      <xdr:spPr>
        <a:xfrm>
          <a:off x="14135100" y="38100"/>
          <a:ext cx="2628900" cy="2514600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638175</xdr:colOff>
      <xdr:row>8</xdr:row>
      <xdr:rowOff>28575</xdr:rowOff>
    </xdr:from>
    <xdr:to>
      <xdr:col>17</xdr:col>
      <xdr:colOff>38100</xdr:colOff>
      <xdr:row>12</xdr:row>
      <xdr:rowOff>142875</xdr:rowOff>
    </xdr:to>
    <xdr:sp>
      <xdr:nvSpPr>
        <xdr:cNvPr id="151" name="Line 325"/>
        <xdr:cNvSpPr>
          <a:spLocks/>
        </xdr:cNvSpPr>
      </xdr:nvSpPr>
      <xdr:spPr>
        <a:xfrm flipH="1" flipV="1">
          <a:off x="14173200" y="1504950"/>
          <a:ext cx="619125" cy="866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12</xdr:row>
      <xdr:rowOff>161925</xdr:rowOff>
    </xdr:from>
    <xdr:to>
      <xdr:col>18</xdr:col>
      <xdr:colOff>447675</xdr:colOff>
      <xdr:row>12</xdr:row>
      <xdr:rowOff>161925</xdr:rowOff>
    </xdr:to>
    <xdr:sp>
      <xdr:nvSpPr>
        <xdr:cNvPr id="152" name="Line 326"/>
        <xdr:cNvSpPr>
          <a:spLocks/>
        </xdr:cNvSpPr>
      </xdr:nvSpPr>
      <xdr:spPr>
        <a:xfrm>
          <a:off x="14782800" y="2390775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123825</xdr:rowOff>
    </xdr:from>
    <xdr:to>
      <xdr:col>18</xdr:col>
      <xdr:colOff>381000</xdr:colOff>
      <xdr:row>12</xdr:row>
      <xdr:rowOff>161925</xdr:rowOff>
    </xdr:to>
    <xdr:sp>
      <xdr:nvSpPr>
        <xdr:cNvPr id="153" name="Line 332"/>
        <xdr:cNvSpPr>
          <a:spLocks/>
        </xdr:cNvSpPr>
      </xdr:nvSpPr>
      <xdr:spPr>
        <a:xfrm flipV="1">
          <a:off x="14782800" y="123825"/>
          <a:ext cx="1171575" cy="226695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45</xdr:row>
      <xdr:rowOff>76200</xdr:rowOff>
    </xdr:from>
    <xdr:to>
      <xdr:col>7</xdr:col>
      <xdr:colOff>600075</xdr:colOff>
      <xdr:row>52</xdr:row>
      <xdr:rowOff>0</xdr:rowOff>
    </xdr:to>
    <xdr:sp>
      <xdr:nvSpPr>
        <xdr:cNvPr id="1" name="Oval 1"/>
        <xdr:cNvSpPr>
          <a:spLocks/>
        </xdr:cNvSpPr>
      </xdr:nvSpPr>
      <xdr:spPr>
        <a:xfrm>
          <a:off x="5486400" y="5476875"/>
          <a:ext cx="1371600" cy="1190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31</xdr:row>
      <xdr:rowOff>28575</xdr:rowOff>
    </xdr:from>
    <xdr:to>
      <xdr:col>3</xdr:col>
      <xdr:colOff>219075</xdr:colOff>
      <xdr:row>32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09900" y="4867275"/>
          <a:ext cx="1714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3</xdr:col>
      <xdr:colOff>142875</xdr:colOff>
      <xdr:row>30</xdr:row>
      <xdr:rowOff>142875</xdr:rowOff>
    </xdr:from>
    <xdr:to>
      <xdr:col>3</xdr:col>
      <xdr:colOff>485775</xdr:colOff>
      <xdr:row>34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105150" y="4867275"/>
          <a:ext cx="342900" cy="0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152400</xdr:rowOff>
    </xdr:from>
    <xdr:to>
      <xdr:col>3</xdr:col>
      <xdr:colOff>485775</xdr:colOff>
      <xdr:row>34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181225" y="48672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152400</xdr:rowOff>
    </xdr:from>
    <xdr:to>
      <xdr:col>3</xdr:col>
      <xdr:colOff>438150</xdr:colOff>
      <xdr:row>34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28975" y="4867275"/>
          <a:ext cx="1714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2</xdr:col>
      <xdr:colOff>276225</xdr:colOff>
      <xdr:row>33</xdr:row>
      <xdr:rowOff>123825</xdr:rowOff>
    </xdr:from>
    <xdr:to>
      <xdr:col>2</xdr:col>
      <xdr:colOff>447675</xdr:colOff>
      <xdr:row>34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19350" y="4867275"/>
          <a:ext cx="1714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2</xdr:col>
      <xdr:colOff>0</xdr:colOff>
      <xdr:row>34</xdr:row>
      <xdr:rowOff>161925</xdr:rowOff>
    </xdr:from>
    <xdr:to>
      <xdr:col>2</xdr:col>
      <xdr:colOff>171450</xdr:colOff>
      <xdr:row>35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43125" y="4867275"/>
          <a:ext cx="1714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2</xdr:col>
      <xdr:colOff>47625</xdr:colOff>
      <xdr:row>30</xdr:row>
      <xdr:rowOff>114300</xdr:rowOff>
    </xdr:from>
    <xdr:to>
      <xdr:col>3</xdr:col>
      <xdr:colOff>142875</xdr:colOff>
      <xdr:row>34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2190750" y="48672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28575</xdr:rowOff>
    </xdr:from>
    <xdr:to>
      <xdr:col>3</xdr:col>
      <xdr:colOff>219075</xdr:colOff>
      <xdr:row>47</xdr:row>
      <xdr:rowOff>19050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009900" y="56007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3</xdr:col>
      <xdr:colOff>142875</xdr:colOff>
      <xdr:row>45</xdr:row>
      <xdr:rowOff>142875</xdr:rowOff>
    </xdr:from>
    <xdr:to>
      <xdr:col>3</xdr:col>
      <xdr:colOff>485775</xdr:colOff>
      <xdr:row>49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3105150" y="5543550"/>
          <a:ext cx="342900" cy="7524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152400</xdr:rowOff>
    </xdr:from>
    <xdr:to>
      <xdr:col>3</xdr:col>
      <xdr:colOff>485775</xdr:colOff>
      <xdr:row>49</xdr:row>
      <xdr:rowOff>152400</xdr:rowOff>
    </xdr:to>
    <xdr:sp>
      <xdr:nvSpPr>
        <xdr:cNvPr id="11" name="Line 12"/>
        <xdr:cNvSpPr>
          <a:spLocks/>
        </xdr:cNvSpPr>
      </xdr:nvSpPr>
      <xdr:spPr>
        <a:xfrm>
          <a:off x="2181225" y="629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48</xdr:row>
      <xdr:rowOff>142875</xdr:rowOff>
    </xdr:from>
    <xdr:to>
      <xdr:col>3</xdr:col>
      <xdr:colOff>371475</xdr:colOff>
      <xdr:row>49</xdr:row>
      <xdr:rowOff>133350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162300" y="61055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2</xdr:col>
      <xdr:colOff>276225</xdr:colOff>
      <xdr:row>48</xdr:row>
      <xdr:rowOff>123825</xdr:rowOff>
    </xdr:from>
    <xdr:to>
      <xdr:col>2</xdr:col>
      <xdr:colOff>447675</xdr:colOff>
      <xdr:row>49</xdr:row>
      <xdr:rowOff>114300</xdr:rowOff>
    </xdr:to>
    <xdr:sp>
      <xdr:nvSpPr>
        <xdr:cNvPr id="13" name="TextBox 14">
          <a:hlinkClick r:id="rId1"/>
        </xdr:cNvPr>
        <xdr:cNvSpPr txBox="1">
          <a:spLocks noChangeArrowheads="1"/>
        </xdr:cNvSpPr>
      </xdr:nvSpPr>
      <xdr:spPr>
        <a:xfrm>
          <a:off x="2419350" y="60864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2</xdr:col>
      <xdr:colOff>0</xdr:colOff>
      <xdr:row>49</xdr:row>
      <xdr:rowOff>161925</xdr:rowOff>
    </xdr:from>
    <xdr:to>
      <xdr:col>2</xdr:col>
      <xdr:colOff>171450</xdr:colOff>
      <xdr:row>50</xdr:row>
      <xdr:rowOff>152400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143125" y="630555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2</xdr:col>
      <xdr:colOff>47625</xdr:colOff>
      <xdr:row>45</xdr:row>
      <xdr:rowOff>114300</xdr:rowOff>
    </xdr:from>
    <xdr:to>
      <xdr:col>3</xdr:col>
      <xdr:colOff>142875</xdr:colOff>
      <xdr:row>49</xdr:row>
      <xdr:rowOff>142875</xdr:rowOff>
    </xdr:to>
    <xdr:sp>
      <xdr:nvSpPr>
        <xdr:cNvPr id="15" name="Line 16"/>
        <xdr:cNvSpPr>
          <a:spLocks/>
        </xdr:cNvSpPr>
      </xdr:nvSpPr>
      <xdr:spPr>
        <a:xfrm flipV="1">
          <a:off x="2190750" y="5514975"/>
          <a:ext cx="9144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65</xdr:row>
      <xdr:rowOff>28575</xdr:rowOff>
    </xdr:from>
    <xdr:to>
      <xdr:col>3</xdr:col>
      <xdr:colOff>219075</xdr:colOff>
      <xdr:row>66</xdr:row>
      <xdr:rowOff>19050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3009900" y="90773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3</xdr:col>
      <xdr:colOff>142875</xdr:colOff>
      <xdr:row>64</xdr:row>
      <xdr:rowOff>142875</xdr:rowOff>
    </xdr:from>
    <xdr:to>
      <xdr:col>3</xdr:col>
      <xdr:colOff>485775</xdr:colOff>
      <xdr:row>68</xdr:row>
      <xdr:rowOff>152400</xdr:rowOff>
    </xdr:to>
    <xdr:sp>
      <xdr:nvSpPr>
        <xdr:cNvPr id="17" name="Line 23"/>
        <xdr:cNvSpPr>
          <a:spLocks/>
        </xdr:cNvSpPr>
      </xdr:nvSpPr>
      <xdr:spPr>
        <a:xfrm>
          <a:off x="3105150" y="9020175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68</xdr:row>
      <xdr:rowOff>152400</xdr:rowOff>
    </xdr:from>
    <xdr:to>
      <xdr:col>3</xdr:col>
      <xdr:colOff>485775</xdr:colOff>
      <xdr:row>68</xdr:row>
      <xdr:rowOff>152400</xdr:rowOff>
    </xdr:to>
    <xdr:sp>
      <xdr:nvSpPr>
        <xdr:cNvPr id="18" name="Line 24"/>
        <xdr:cNvSpPr>
          <a:spLocks/>
        </xdr:cNvSpPr>
      </xdr:nvSpPr>
      <xdr:spPr>
        <a:xfrm>
          <a:off x="2181225" y="97345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67</xdr:row>
      <xdr:rowOff>142875</xdr:rowOff>
    </xdr:from>
    <xdr:to>
      <xdr:col>3</xdr:col>
      <xdr:colOff>371475</xdr:colOff>
      <xdr:row>68</xdr:row>
      <xdr:rowOff>133350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3162300" y="95440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2</xdr:col>
      <xdr:colOff>276225</xdr:colOff>
      <xdr:row>67</xdr:row>
      <xdr:rowOff>123825</xdr:rowOff>
    </xdr:from>
    <xdr:to>
      <xdr:col>2</xdr:col>
      <xdr:colOff>447675</xdr:colOff>
      <xdr:row>68</xdr:row>
      <xdr:rowOff>114300</xdr:rowOff>
    </xdr:to>
    <xdr:sp>
      <xdr:nvSpPr>
        <xdr:cNvPr id="20" name="TextBox 26">
          <a:hlinkClick r:id="rId2"/>
        </xdr:cNvPr>
        <xdr:cNvSpPr txBox="1">
          <a:spLocks noChangeArrowheads="1"/>
        </xdr:cNvSpPr>
      </xdr:nvSpPr>
      <xdr:spPr>
        <a:xfrm>
          <a:off x="2419350" y="95250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2</xdr:col>
      <xdr:colOff>0</xdr:colOff>
      <xdr:row>68</xdr:row>
      <xdr:rowOff>161925</xdr:rowOff>
    </xdr:from>
    <xdr:to>
      <xdr:col>2</xdr:col>
      <xdr:colOff>171450</xdr:colOff>
      <xdr:row>69</xdr:row>
      <xdr:rowOff>152400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2143125" y="97440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2</xdr:col>
      <xdr:colOff>47625</xdr:colOff>
      <xdr:row>64</xdr:row>
      <xdr:rowOff>114300</xdr:rowOff>
    </xdr:from>
    <xdr:to>
      <xdr:col>3</xdr:col>
      <xdr:colOff>142875</xdr:colOff>
      <xdr:row>68</xdr:row>
      <xdr:rowOff>142875</xdr:rowOff>
    </xdr:to>
    <xdr:sp>
      <xdr:nvSpPr>
        <xdr:cNvPr id="22" name="Line 28"/>
        <xdr:cNvSpPr>
          <a:spLocks/>
        </xdr:cNvSpPr>
      </xdr:nvSpPr>
      <xdr:spPr>
        <a:xfrm flipV="1">
          <a:off x="2190750" y="8991600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65</xdr:row>
      <xdr:rowOff>28575</xdr:rowOff>
    </xdr:from>
    <xdr:to>
      <xdr:col>12</xdr:col>
      <xdr:colOff>219075</xdr:colOff>
      <xdr:row>66</xdr:row>
      <xdr:rowOff>19050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10668000" y="90773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64</xdr:row>
      <xdr:rowOff>142875</xdr:rowOff>
    </xdr:from>
    <xdr:to>
      <xdr:col>12</xdr:col>
      <xdr:colOff>485775</xdr:colOff>
      <xdr:row>68</xdr:row>
      <xdr:rowOff>152400</xdr:rowOff>
    </xdr:to>
    <xdr:sp>
      <xdr:nvSpPr>
        <xdr:cNvPr id="24" name="Line 30"/>
        <xdr:cNvSpPr>
          <a:spLocks/>
        </xdr:cNvSpPr>
      </xdr:nvSpPr>
      <xdr:spPr>
        <a:xfrm>
          <a:off x="10763250" y="9020175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68</xdr:row>
      <xdr:rowOff>152400</xdr:rowOff>
    </xdr:from>
    <xdr:to>
      <xdr:col>12</xdr:col>
      <xdr:colOff>485775</xdr:colOff>
      <xdr:row>68</xdr:row>
      <xdr:rowOff>152400</xdr:rowOff>
    </xdr:to>
    <xdr:sp>
      <xdr:nvSpPr>
        <xdr:cNvPr id="25" name="Line 31"/>
        <xdr:cNvSpPr>
          <a:spLocks/>
        </xdr:cNvSpPr>
      </xdr:nvSpPr>
      <xdr:spPr>
        <a:xfrm>
          <a:off x="9839325" y="97345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67</xdr:row>
      <xdr:rowOff>142875</xdr:rowOff>
    </xdr:from>
    <xdr:to>
      <xdr:col>12</xdr:col>
      <xdr:colOff>371475</xdr:colOff>
      <xdr:row>68</xdr:row>
      <xdr:rowOff>133350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10820400" y="95440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67</xdr:row>
      <xdr:rowOff>123825</xdr:rowOff>
    </xdr:from>
    <xdr:to>
      <xdr:col>11</xdr:col>
      <xdr:colOff>447675</xdr:colOff>
      <xdr:row>68</xdr:row>
      <xdr:rowOff>114300</xdr:rowOff>
    </xdr:to>
    <xdr:sp>
      <xdr:nvSpPr>
        <xdr:cNvPr id="27" name="TextBox 33">
          <a:hlinkClick r:id="rId3"/>
        </xdr:cNvPr>
        <xdr:cNvSpPr txBox="1">
          <a:spLocks noChangeArrowheads="1"/>
        </xdr:cNvSpPr>
      </xdr:nvSpPr>
      <xdr:spPr>
        <a:xfrm>
          <a:off x="10077450" y="95250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68</xdr:row>
      <xdr:rowOff>161925</xdr:rowOff>
    </xdr:from>
    <xdr:to>
      <xdr:col>11</xdr:col>
      <xdr:colOff>171450</xdr:colOff>
      <xdr:row>69</xdr:row>
      <xdr:rowOff>152400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9801225" y="97440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64</xdr:row>
      <xdr:rowOff>114300</xdr:rowOff>
    </xdr:from>
    <xdr:to>
      <xdr:col>12</xdr:col>
      <xdr:colOff>142875</xdr:colOff>
      <xdr:row>68</xdr:row>
      <xdr:rowOff>142875</xdr:rowOff>
    </xdr:to>
    <xdr:sp>
      <xdr:nvSpPr>
        <xdr:cNvPr id="29" name="Line 35"/>
        <xdr:cNvSpPr>
          <a:spLocks/>
        </xdr:cNvSpPr>
      </xdr:nvSpPr>
      <xdr:spPr>
        <a:xfrm flipV="1">
          <a:off x="9848850" y="8991600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65</xdr:row>
      <xdr:rowOff>28575</xdr:rowOff>
    </xdr:from>
    <xdr:to>
      <xdr:col>12</xdr:col>
      <xdr:colOff>219075</xdr:colOff>
      <xdr:row>66</xdr:row>
      <xdr:rowOff>19050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10668000" y="90773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64</xdr:row>
      <xdr:rowOff>142875</xdr:rowOff>
    </xdr:from>
    <xdr:to>
      <xdr:col>12</xdr:col>
      <xdr:colOff>485775</xdr:colOff>
      <xdr:row>68</xdr:row>
      <xdr:rowOff>152400</xdr:rowOff>
    </xdr:to>
    <xdr:sp>
      <xdr:nvSpPr>
        <xdr:cNvPr id="31" name="Line 37"/>
        <xdr:cNvSpPr>
          <a:spLocks/>
        </xdr:cNvSpPr>
      </xdr:nvSpPr>
      <xdr:spPr>
        <a:xfrm>
          <a:off x="10763250" y="9020175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68</xdr:row>
      <xdr:rowOff>152400</xdr:rowOff>
    </xdr:from>
    <xdr:to>
      <xdr:col>12</xdr:col>
      <xdr:colOff>485775</xdr:colOff>
      <xdr:row>68</xdr:row>
      <xdr:rowOff>152400</xdr:rowOff>
    </xdr:to>
    <xdr:sp>
      <xdr:nvSpPr>
        <xdr:cNvPr id="32" name="Line 38"/>
        <xdr:cNvSpPr>
          <a:spLocks/>
        </xdr:cNvSpPr>
      </xdr:nvSpPr>
      <xdr:spPr>
        <a:xfrm>
          <a:off x="9839325" y="97345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67</xdr:row>
      <xdr:rowOff>142875</xdr:rowOff>
    </xdr:from>
    <xdr:to>
      <xdr:col>12</xdr:col>
      <xdr:colOff>371475</xdr:colOff>
      <xdr:row>68</xdr:row>
      <xdr:rowOff>133350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10820400" y="95440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67</xdr:row>
      <xdr:rowOff>123825</xdr:rowOff>
    </xdr:from>
    <xdr:to>
      <xdr:col>11</xdr:col>
      <xdr:colOff>447675</xdr:colOff>
      <xdr:row>68</xdr:row>
      <xdr:rowOff>114300</xdr:rowOff>
    </xdr:to>
    <xdr:sp>
      <xdr:nvSpPr>
        <xdr:cNvPr id="34" name="TextBox 40">
          <a:hlinkClick r:id="rId4"/>
        </xdr:cNvPr>
        <xdr:cNvSpPr txBox="1">
          <a:spLocks noChangeArrowheads="1"/>
        </xdr:cNvSpPr>
      </xdr:nvSpPr>
      <xdr:spPr>
        <a:xfrm>
          <a:off x="10077450" y="95250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68</xdr:row>
      <xdr:rowOff>161925</xdr:rowOff>
    </xdr:from>
    <xdr:to>
      <xdr:col>11</xdr:col>
      <xdr:colOff>171450</xdr:colOff>
      <xdr:row>69</xdr:row>
      <xdr:rowOff>152400</xdr:rowOff>
    </xdr:to>
    <xdr:sp>
      <xdr:nvSpPr>
        <xdr:cNvPr id="35" name="TextBox 41"/>
        <xdr:cNvSpPr txBox="1">
          <a:spLocks noChangeArrowheads="1"/>
        </xdr:cNvSpPr>
      </xdr:nvSpPr>
      <xdr:spPr>
        <a:xfrm>
          <a:off x="9801225" y="97440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64</xdr:row>
      <xdr:rowOff>114300</xdr:rowOff>
    </xdr:from>
    <xdr:to>
      <xdr:col>12</xdr:col>
      <xdr:colOff>142875</xdr:colOff>
      <xdr:row>68</xdr:row>
      <xdr:rowOff>142875</xdr:rowOff>
    </xdr:to>
    <xdr:sp>
      <xdr:nvSpPr>
        <xdr:cNvPr id="36" name="Line 42"/>
        <xdr:cNvSpPr>
          <a:spLocks/>
        </xdr:cNvSpPr>
      </xdr:nvSpPr>
      <xdr:spPr>
        <a:xfrm flipV="1">
          <a:off x="9848850" y="8991600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44</xdr:row>
      <xdr:rowOff>142875</xdr:rowOff>
    </xdr:from>
    <xdr:to>
      <xdr:col>7</xdr:col>
      <xdr:colOff>428625</xdr:colOff>
      <xdr:row>45</xdr:row>
      <xdr:rowOff>142875</xdr:rowOff>
    </xdr:to>
    <xdr:sp>
      <xdr:nvSpPr>
        <xdr:cNvPr id="37" name="TextBox 46">
          <a:hlinkClick r:id="rId5"/>
        </xdr:cNvPr>
        <xdr:cNvSpPr txBox="1">
          <a:spLocks noChangeArrowheads="1"/>
        </xdr:cNvSpPr>
      </xdr:nvSpPr>
      <xdr:spPr>
        <a:xfrm>
          <a:off x="6515100" y="53721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8</xdr:col>
      <xdr:colOff>85725</xdr:colOff>
      <xdr:row>44</xdr:row>
      <xdr:rowOff>104775</xdr:rowOff>
    </xdr:from>
    <xdr:to>
      <xdr:col>8</xdr:col>
      <xdr:colOff>257175</xdr:colOff>
      <xdr:row>45</xdr:row>
      <xdr:rowOff>95250</xdr:rowOff>
    </xdr:to>
    <xdr:sp>
      <xdr:nvSpPr>
        <xdr:cNvPr id="38" name="TextBox 47"/>
        <xdr:cNvSpPr txBox="1">
          <a:spLocks noChangeArrowheads="1"/>
        </xdr:cNvSpPr>
      </xdr:nvSpPr>
      <xdr:spPr>
        <a:xfrm>
          <a:off x="7038975" y="53340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6</xdr:col>
      <xdr:colOff>638175</xdr:colOff>
      <xdr:row>47</xdr:row>
      <xdr:rowOff>76200</xdr:rowOff>
    </xdr:from>
    <xdr:to>
      <xdr:col>7</xdr:col>
      <xdr:colOff>171450</xdr:colOff>
      <xdr:row>49</xdr:row>
      <xdr:rowOff>0</xdr:rowOff>
    </xdr:to>
    <xdr:sp>
      <xdr:nvSpPr>
        <xdr:cNvPr id="39" name="TextBox 48"/>
        <xdr:cNvSpPr txBox="1">
          <a:spLocks noChangeArrowheads="1"/>
        </xdr:cNvSpPr>
      </xdr:nvSpPr>
      <xdr:spPr>
        <a:xfrm>
          <a:off x="6048375" y="5819775"/>
          <a:ext cx="381000" cy="3238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47625</xdr:colOff>
      <xdr:row>84</xdr:row>
      <xdr:rowOff>28575</xdr:rowOff>
    </xdr:from>
    <xdr:to>
      <xdr:col>3</xdr:col>
      <xdr:colOff>219075</xdr:colOff>
      <xdr:row>85</xdr:row>
      <xdr:rowOff>19050</xdr:rowOff>
    </xdr:to>
    <xdr:sp>
      <xdr:nvSpPr>
        <xdr:cNvPr id="40" name="TextBox 49"/>
        <xdr:cNvSpPr txBox="1">
          <a:spLocks noChangeArrowheads="1"/>
        </xdr:cNvSpPr>
      </xdr:nvSpPr>
      <xdr:spPr>
        <a:xfrm>
          <a:off x="3009900" y="124110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3</xdr:col>
      <xdr:colOff>142875</xdr:colOff>
      <xdr:row>83</xdr:row>
      <xdr:rowOff>142875</xdr:rowOff>
    </xdr:from>
    <xdr:to>
      <xdr:col>3</xdr:col>
      <xdr:colOff>485775</xdr:colOff>
      <xdr:row>87</xdr:row>
      <xdr:rowOff>152400</xdr:rowOff>
    </xdr:to>
    <xdr:sp>
      <xdr:nvSpPr>
        <xdr:cNvPr id="41" name="Line 50"/>
        <xdr:cNvSpPr>
          <a:spLocks/>
        </xdr:cNvSpPr>
      </xdr:nvSpPr>
      <xdr:spPr>
        <a:xfrm>
          <a:off x="3105150" y="12353925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87</xdr:row>
      <xdr:rowOff>152400</xdr:rowOff>
    </xdr:from>
    <xdr:to>
      <xdr:col>3</xdr:col>
      <xdr:colOff>485775</xdr:colOff>
      <xdr:row>87</xdr:row>
      <xdr:rowOff>152400</xdr:rowOff>
    </xdr:to>
    <xdr:sp>
      <xdr:nvSpPr>
        <xdr:cNvPr id="42" name="Line 51"/>
        <xdr:cNvSpPr>
          <a:spLocks/>
        </xdr:cNvSpPr>
      </xdr:nvSpPr>
      <xdr:spPr>
        <a:xfrm>
          <a:off x="2181225" y="130683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86</xdr:row>
      <xdr:rowOff>142875</xdr:rowOff>
    </xdr:from>
    <xdr:to>
      <xdr:col>3</xdr:col>
      <xdr:colOff>371475</xdr:colOff>
      <xdr:row>87</xdr:row>
      <xdr:rowOff>133350</xdr:rowOff>
    </xdr:to>
    <xdr:sp>
      <xdr:nvSpPr>
        <xdr:cNvPr id="43" name="TextBox 52"/>
        <xdr:cNvSpPr txBox="1">
          <a:spLocks noChangeArrowheads="1"/>
        </xdr:cNvSpPr>
      </xdr:nvSpPr>
      <xdr:spPr>
        <a:xfrm>
          <a:off x="3162300" y="128778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2</xdr:col>
      <xdr:colOff>276225</xdr:colOff>
      <xdr:row>86</xdr:row>
      <xdr:rowOff>123825</xdr:rowOff>
    </xdr:from>
    <xdr:to>
      <xdr:col>2</xdr:col>
      <xdr:colOff>447675</xdr:colOff>
      <xdr:row>87</xdr:row>
      <xdr:rowOff>114300</xdr:rowOff>
    </xdr:to>
    <xdr:sp>
      <xdr:nvSpPr>
        <xdr:cNvPr id="44" name="TextBox 53">
          <a:hlinkClick r:id="rId6"/>
        </xdr:cNvPr>
        <xdr:cNvSpPr txBox="1">
          <a:spLocks noChangeArrowheads="1"/>
        </xdr:cNvSpPr>
      </xdr:nvSpPr>
      <xdr:spPr>
        <a:xfrm>
          <a:off x="2419350" y="128587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2</xdr:col>
      <xdr:colOff>0</xdr:colOff>
      <xdr:row>87</xdr:row>
      <xdr:rowOff>161925</xdr:rowOff>
    </xdr:from>
    <xdr:to>
      <xdr:col>2</xdr:col>
      <xdr:colOff>171450</xdr:colOff>
      <xdr:row>88</xdr:row>
      <xdr:rowOff>152400</xdr:rowOff>
    </xdr:to>
    <xdr:sp>
      <xdr:nvSpPr>
        <xdr:cNvPr id="45" name="TextBox 54"/>
        <xdr:cNvSpPr txBox="1">
          <a:spLocks noChangeArrowheads="1"/>
        </xdr:cNvSpPr>
      </xdr:nvSpPr>
      <xdr:spPr>
        <a:xfrm>
          <a:off x="2143125" y="130778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2</xdr:col>
      <xdr:colOff>47625</xdr:colOff>
      <xdr:row>83</xdr:row>
      <xdr:rowOff>114300</xdr:rowOff>
    </xdr:from>
    <xdr:to>
      <xdr:col>3</xdr:col>
      <xdr:colOff>142875</xdr:colOff>
      <xdr:row>87</xdr:row>
      <xdr:rowOff>142875</xdr:rowOff>
    </xdr:to>
    <xdr:sp>
      <xdr:nvSpPr>
        <xdr:cNvPr id="46" name="Line 55"/>
        <xdr:cNvSpPr>
          <a:spLocks/>
        </xdr:cNvSpPr>
      </xdr:nvSpPr>
      <xdr:spPr>
        <a:xfrm flipV="1">
          <a:off x="2190750" y="12325350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84</xdr:row>
      <xdr:rowOff>28575</xdr:rowOff>
    </xdr:from>
    <xdr:to>
      <xdr:col>12</xdr:col>
      <xdr:colOff>219075</xdr:colOff>
      <xdr:row>85</xdr:row>
      <xdr:rowOff>19050</xdr:rowOff>
    </xdr:to>
    <xdr:sp>
      <xdr:nvSpPr>
        <xdr:cNvPr id="47" name="TextBox 56"/>
        <xdr:cNvSpPr txBox="1">
          <a:spLocks noChangeArrowheads="1"/>
        </xdr:cNvSpPr>
      </xdr:nvSpPr>
      <xdr:spPr>
        <a:xfrm>
          <a:off x="10668000" y="124110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83</xdr:row>
      <xdr:rowOff>142875</xdr:rowOff>
    </xdr:from>
    <xdr:to>
      <xdr:col>12</xdr:col>
      <xdr:colOff>485775</xdr:colOff>
      <xdr:row>87</xdr:row>
      <xdr:rowOff>152400</xdr:rowOff>
    </xdr:to>
    <xdr:sp>
      <xdr:nvSpPr>
        <xdr:cNvPr id="48" name="Line 57"/>
        <xdr:cNvSpPr>
          <a:spLocks/>
        </xdr:cNvSpPr>
      </xdr:nvSpPr>
      <xdr:spPr>
        <a:xfrm>
          <a:off x="10763250" y="12353925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152400</xdr:rowOff>
    </xdr:from>
    <xdr:to>
      <xdr:col>12</xdr:col>
      <xdr:colOff>485775</xdr:colOff>
      <xdr:row>87</xdr:row>
      <xdr:rowOff>152400</xdr:rowOff>
    </xdr:to>
    <xdr:sp>
      <xdr:nvSpPr>
        <xdr:cNvPr id="49" name="Line 58"/>
        <xdr:cNvSpPr>
          <a:spLocks/>
        </xdr:cNvSpPr>
      </xdr:nvSpPr>
      <xdr:spPr>
        <a:xfrm>
          <a:off x="9839325" y="130683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86</xdr:row>
      <xdr:rowOff>142875</xdr:rowOff>
    </xdr:from>
    <xdr:to>
      <xdr:col>12</xdr:col>
      <xdr:colOff>371475</xdr:colOff>
      <xdr:row>87</xdr:row>
      <xdr:rowOff>133350</xdr:rowOff>
    </xdr:to>
    <xdr:sp>
      <xdr:nvSpPr>
        <xdr:cNvPr id="50" name="TextBox 59"/>
        <xdr:cNvSpPr txBox="1">
          <a:spLocks noChangeArrowheads="1"/>
        </xdr:cNvSpPr>
      </xdr:nvSpPr>
      <xdr:spPr>
        <a:xfrm>
          <a:off x="10820400" y="128778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86</xdr:row>
      <xdr:rowOff>123825</xdr:rowOff>
    </xdr:from>
    <xdr:to>
      <xdr:col>11</xdr:col>
      <xdr:colOff>447675</xdr:colOff>
      <xdr:row>87</xdr:row>
      <xdr:rowOff>114300</xdr:rowOff>
    </xdr:to>
    <xdr:sp>
      <xdr:nvSpPr>
        <xdr:cNvPr id="51" name="TextBox 60">
          <a:hlinkClick r:id="rId7"/>
        </xdr:cNvPr>
        <xdr:cNvSpPr txBox="1">
          <a:spLocks noChangeArrowheads="1"/>
        </xdr:cNvSpPr>
      </xdr:nvSpPr>
      <xdr:spPr>
        <a:xfrm>
          <a:off x="10077450" y="128587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87</xdr:row>
      <xdr:rowOff>161925</xdr:rowOff>
    </xdr:from>
    <xdr:to>
      <xdr:col>11</xdr:col>
      <xdr:colOff>171450</xdr:colOff>
      <xdr:row>88</xdr:row>
      <xdr:rowOff>152400</xdr:rowOff>
    </xdr:to>
    <xdr:sp>
      <xdr:nvSpPr>
        <xdr:cNvPr id="52" name="TextBox 61"/>
        <xdr:cNvSpPr txBox="1">
          <a:spLocks noChangeArrowheads="1"/>
        </xdr:cNvSpPr>
      </xdr:nvSpPr>
      <xdr:spPr>
        <a:xfrm>
          <a:off x="9801225" y="130778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83</xdr:row>
      <xdr:rowOff>114300</xdr:rowOff>
    </xdr:from>
    <xdr:to>
      <xdr:col>12</xdr:col>
      <xdr:colOff>142875</xdr:colOff>
      <xdr:row>87</xdr:row>
      <xdr:rowOff>142875</xdr:rowOff>
    </xdr:to>
    <xdr:sp>
      <xdr:nvSpPr>
        <xdr:cNvPr id="53" name="Line 62"/>
        <xdr:cNvSpPr>
          <a:spLocks/>
        </xdr:cNvSpPr>
      </xdr:nvSpPr>
      <xdr:spPr>
        <a:xfrm flipV="1">
          <a:off x="9848850" y="12325350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84</xdr:row>
      <xdr:rowOff>28575</xdr:rowOff>
    </xdr:from>
    <xdr:to>
      <xdr:col>12</xdr:col>
      <xdr:colOff>219075</xdr:colOff>
      <xdr:row>85</xdr:row>
      <xdr:rowOff>19050</xdr:rowOff>
    </xdr:to>
    <xdr:sp>
      <xdr:nvSpPr>
        <xdr:cNvPr id="54" name="TextBox 63"/>
        <xdr:cNvSpPr txBox="1">
          <a:spLocks noChangeArrowheads="1"/>
        </xdr:cNvSpPr>
      </xdr:nvSpPr>
      <xdr:spPr>
        <a:xfrm>
          <a:off x="10668000" y="124110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83</xdr:row>
      <xdr:rowOff>142875</xdr:rowOff>
    </xdr:from>
    <xdr:to>
      <xdr:col>12</xdr:col>
      <xdr:colOff>485775</xdr:colOff>
      <xdr:row>87</xdr:row>
      <xdr:rowOff>152400</xdr:rowOff>
    </xdr:to>
    <xdr:sp>
      <xdr:nvSpPr>
        <xdr:cNvPr id="55" name="Line 64"/>
        <xdr:cNvSpPr>
          <a:spLocks/>
        </xdr:cNvSpPr>
      </xdr:nvSpPr>
      <xdr:spPr>
        <a:xfrm>
          <a:off x="10763250" y="12353925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152400</xdr:rowOff>
    </xdr:from>
    <xdr:to>
      <xdr:col>12</xdr:col>
      <xdr:colOff>485775</xdr:colOff>
      <xdr:row>87</xdr:row>
      <xdr:rowOff>152400</xdr:rowOff>
    </xdr:to>
    <xdr:sp>
      <xdr:nvSpPr>
        <xdr:cNvPr id="56" name="Line 65"/>
        <xdr:cNvSpPr>
          <a:spLocks/>
        </xdr:cNvSpPr>
      </xdr:nvSpPr>
      <xdr:spPr>
        <a:xfrm>
          <a:off x="9839325" y="130683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86</xdr:row>
      <xdr:rowOff>142875</xdr:rowOff>
    </xdr:from>
    <xdr:to>
      <xdr:col>12</xdr:col>
      <xdr:colOff>371475</xdr:colOff>
      <xdr:row>87</xdr:row>
      <xdr:rowOff>133350</xdr:rowOff>
    </xdr:to>
    <xdr:sp>
      <xdr:nvSpPr>
        <xdr:cNvPr id="57" name="TextBox 66"/>
        <xdr:cNvSpPr txBox="1">
          <a:spLocks noChangeArrowheads="1"/>
        </xdr:cNvSpPr>
      </xdr:nvSpPr>
      <xdr:spPr>
        <a:xfrm>
          <a:off x="10820400" y="128778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86</xdr:row>
      <xdr:rowOff>123825</xdr:rowOff>
    </xdr:from>
    <xdr:to>
      <xdr:col>11</xdr:col>
      <xdr:colOff>447675</xdr:colOff>
      <xdr:row>87</xdr:row>
      <xdr:rowOff>114300</xdr:rowOff>
    </xdr:to>
    <xdr:sp>
      <xdr:nvSpPr>
        <xdr:cNvPr id="58" name="TextBox 67">
          <a:hlinkClick r:id="rId8"/>
        </xdr:cNvPr>
        <xdr:cNvSpPr txBox="1">
          <a:spLocks noChangeArrowheads="1"/>
        </xdr:cNvSpPr>
      </xdr:nvSpPr>
      <xdr:spPr>
        <a:xfrm>
          <a:off x="10077450" y="128587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87</xdr:row>
      <xdr:rowOff>161925</xdr:rowOff>
    </xdr:from>
    <xdr:to>
      <xdr:col>11</xdr:col>
      <xdr:colOff>171450</xdr:colOff>
      <xdr:row>88</xdr:row>
      <xdr:rowOff>152400</xdr:rowOff>
    </xdr:to>
    <xdr:sp>
      <xdr:nvSpPr>
        <xdr:cNvPr id="59" name="TextBox 68"/>
        <xdr:cNvSpPr txBox="1">
          <a:spLocks noChangeArrowheads="1"/>
        </xdr:cNvSpPr>
      </xdr:nvSpPr>
      <xdr:spPr>
        <a:xfrm>
          <a:off x="9801225" y="130778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83</xdr:row>
      <xdr:rowOff>114300</xdr:rowOff>
    </xdr:from>
    <xdr:to>
      <xdr:col>12</xdr:col>
      <xdr:colOff>142875</xdr:colOff>
      <xdr:row>87</xdr:row>
      <xdr:rowOff>142875</xdr:rowOff>
    </xdr:to>
    <xdr:sp>
      <xdr:nvSpPr>
        <xdr:cNvPr id="60" name="Line 69"/>
        <xdr:cNvSpPr>
          <a:spLocks/>
        </xdr:cNvSpPr>
      </xdr:nvSpPr>
      <xdr:spPr>
        <a:xfrm flipV="1">
          <a:off x="9848850" y="12325350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83</xdr:row>
      <xdr:rowOff>76200</xdr:rowOff>
    </xdr:from>
    <xdr:to>
      <xdr:col>7</xdr:col>
      <xdr:colOff>600075</xdr:colOff>
      <xdr:row>90</xdr:row>
      <xdr:rowOff>0</xdr:rowOff>
    </xdr:to>
    <xdr:sp>
      <xdr:nvSpPr>
        <xdr:cNvPr id="61" name="Oval 73"/>
        <xdr:cNvSpPr>
          <a:spLocks/>
        </xdr:cNvSpPr>
      </xdr:nvSpPr>
      <xdr:spPr>
        <a:xfrm>
          <a:off x="5486400" y="12287250"/>
          <a:ext cx="1371600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83</xdr:row>
      <xdr:rowOff>104775</xdr:rowOff>
    </xdr:from>
    <xdr:to>
      <xdr:col>7</xdr:col>
      <xdr:colOff>409575</xdr:colOff>
      <xdr:row>89</xdr:row>
      <xdr:rowOff>28575</xdr:rowOff>
    </xdr:to>
    <xdr:sp>
      <xdr:nvSpPr>
        <xdr:cNvPr id="62" name="Line 74"/>
        <xdr:cNvSpPr>
          <a:spLocks/>
        </xdr:cNvSpPr>
      </xdr:nvSpPr>
      <xdr:spPr>
        <a:xfrm>
          <a:off x="6257925" y="12315825"/>
          <a:ext cx="409575" cy="9810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89</xdr:row>
      <xdr:rowOff>28575</xdr:rowOff>
    </xdr:from>
    <xdr:to>
      <xdr:col>7</xdr:col>
      <xdr:colOff>381000</xdr:colOff>
      <xdr:row>89</xdr:row>
      <xdr:rowOff>28575</xdr:rowOff>
    </xdr:to>
    <xdr:sp>
      <xdr:nvSpPr>
        <xdr:cNvPr id="63" name="Line 75"/>
        <xdr:cNvSpPr>
          <a:spLocks/>
        </xdr:cNvSpPr>
      </xdr:nvSpPr>
      <xdr:spPr>
        <a:xfrm>
          <a:off x="5705475" y="132969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88</xdr:row>
      <xdr:rowOff>28575</xdr:rowOff>
    </xdr:from>
    <xdr:to>
      <xdr:col>6</xdr:col>
      <xdr:colOff>466725</xdr:colOff>
      <xdr:row>89</xdr:row>
      <xdr:rowOff>19050</xdr:rowOff>
    </xdr:to>
    <xdr:sp>
      <xdr:nvSpPr>
        <xdr:cNvPr id="64" name="TextBox 76"/>
        <xdr:cNvSpPr txBox="1">
          <a:spLocks noChangeArrowheads="1"/>
        </xdr:cNvSpPr>
      </xdr:nvSpPr>
      <xdr:spPr>
        <a:xfrm>
          <a:off x="5705475" y="131159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6</xdr:col>
      <xdr:colOff>266700</xdr:colOff>
      <xdr:row>83</xdr:row>
      <xdr:rowOff>85725</xdr:rowOff>
    </xdr:from>
    <xdr:to>
      <xdr:col>7</xdr:col>
      <xdr:colOff>0</xdr:colOff>
      <xdr:row>89</xdr:row>
      <xdr:rowOff>28575</xdr:rowOff>
    </xdr:to>
    <xdr:sp>
      <xdr:nvSpPr>
        <xdr:cNvPr id="65" name="Line 77"/>
        <xdr:cNvSpPr>
          <a:spLocks/>
        </xdr:cNvSpPr>
      </xdr:nvSpPr>
      <xdr:spPr>
        <a:xfrm flipV="1">
          <a:off x="5676900" y="12296775"/>
          <a:ext cx="5810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84</xdr:row>
      <xdr:rowOff>85725</xdr:rowOff>
    </xdr:from>
    <xdr:to>
      <xdr:col>7</xdr:col>
      <xdr:colOff>95250</xdr:colOff>
      <xdr:row>85</xdr:row>
      <xdr:rowOff>76200</xdr:rowOff>
    </xdr:to>
    <xdr:sp>
      <xdr:nvSpPr>
        <xdr:cNvPr id="66" name="TextBox 78"/>
        <xdr:cNvSpPr txBox="1">
          <a:spLocks noChangeArrowheads="1"/>
        </xdr:cNvSpPr>
      </xdr:nvSpPr>
      <xdr:spPr>
        <a:xfrm>
          <a:off x="6019800" y="12468225"/>
          <a:ext cx="333375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7</xdr:col>
      <xdr:colOff>152400</xdr:colOff>
      <xdr:row>88</xdr:row>
      <xdr:rowOff>9525</xdr:rowOff>
    </xdr:from>
    <xdr:to>
      <xdr:col>7</xdr:col>
      <xdr:colOff>323850</xdr:colOff>
      <xdr:row>89</xdr:row>
      <xdr:rowOff>0</xdr:rowOff>
    </xdr:to>
    <xdr:sp>
      <xdr:nvSpPr>
        <xdr:cNvPr id="67" name="TextBox 79"/>
        <xdr:cNvSpPr txBox="1">
          <a:spLocks noChangeArrowheads="1"/>
        </xdr:cNvSpPr>
      </xdr:nvSpPr>
      <xdr:spPr>
        <a:xfrm>
          <a:off x="6410325" y="130968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6</xdr:col>
      <xdr:colOff>76200</xdr:colOff>
      <xdr:row>64</xdr:row>
      <xdr:rowOff>76200</xdr:rowOff>
    </xdr:from>
    <xdr:to>
      <xdr:col>7</xdr:col>
      <xdr:colOff>600075</xdr:colOff>
      <xdr:row>71</xdr:row>
      <xdr:rowOff>0</xdr:rowOff>
    </xdr:to>
    <xdr:sp>
      <xdr:nvSpPr>
        <xdr:cNvPr id="68" name="Oval 80"/>
        <xdr:cNvSpPr>
          <a:spLocks/>
        </xdr:cNvSpPr>
      </xdr:nvSpPr>
      <xdr:spPr>
        <a:xfrm>
          <a:off x="5486400" y="8953500"/>
          <a:ext cx="1371600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64</xdr:row>
      <xdr:rowOff>114300</xdr:rowOff>
    </xdr:from>
    <xdr:to>
      <xdr:col>7</xdr:col>
      <xdr:colOff>561975</xdr:colOff>
      <xdr:row>69</xdr:row>
      <xdr:rowOff>0</xdr:rowOff>
    </xdr:to>
    <xdr:sp>
      <xdr:nvSpPr>
        <xdr:cNvPr id="69" name="Line 81"/>
        <xdr:cNvSpPr>
          <a:spLocks/>
        </xdr:cNvSpPr>
      </xdr:nvSpPr>
      <xdr:spPr>
        <a:xfrm>
          <a:off x="6400800" y="8991600"/>
          <a:ext cx="419100" cy="762000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69</xdr:row>
      <xdr:rowOff>0</xdr:rowOff>
    </xdr:from>
    <xdr:to>
      <xdr:col>7</xdr:col>
      <xdr:colOff>590550</xdr:colOff>
      <xdr:row>69</xdr:row>
      <xdr:rowOff>0</xdr:rowOff>
    </xdr:to>
    <xdr:sp>
      <xdr:nvSpPr>
        <xdr:cNvPr id="70" name="Line 82"/>
        <xdr:cNvSpPr>
          <a:spLocks/>
        </xdr:cNvSpPr>
      </xdr:nvSpPr>
      <xdr:spPr>
        <a:xfrm>
          <a:off x="5553075" y="9753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67</xdr:row>
      <xdr:rowOff>123825</xdr:rowOff>
    </xdr:from>
    <xdr:to>
      <xdr:col>6</xdr:col>
      <xdr:colOff>447675</xdr:colOff>
      <xdr:row>68</xdr:row>
      <xdr:rowOff>114300</xdr:rowOff>
    </xdr:to>
    <xdr:sp>
      <xdr:nvSpPr>
        <xdr:cNvPr id="71" name="TextBox 83">
          <a:hlinkClick r:id="rId9"/>
        </xdr:cNvPr>
        <xdr:cNvSpPr txBox="1">
          <a:spLocks noChangeArrowheads="1"/>
        </xdr:cNvSpPr>
      </xdr:nvSpPr>
      <xdr:spPr>
        <a:xfrm>
          <a:off x="5686425" y="95250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6</xdr:col>
      <xdr:colOff>123825</xdr:colOff>
      <xdr:row>64</xdr:row>
      <xdr:rowOff>114300</xdr:rowOff>
    </xdr:from>
    <xdr:to>
      <xdr:col>7</xdr:col>
      <xdr:colOff>142875</xdr:colOff>
      <xdr:row>69</xdr:row>
      <xdr:rowOff>28575</xdr:rowOff>
    </xdr:to>
    <xdr:sp>
      <xdr:nvSpPr>
        <xdr:cNvPr id="72" name="Line 84"/>
        <xdr:cNvSpPr>
          <a:spLocks/>
        </xdr:cNvSpPr>
      </xdr:nvSpPr>
      <xdr:spPr>
        <a:xfrm flipV="1">
          <a:off x="5534025" y="8991600"/>
          <a:ext cx="8667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65</xdr:row>
      <xdr:rowOff>66675</xdr:rowOff>
    </xdr:from>
    <xdr:to>
      <xdr:col>7</xdr:col>
      <xdr:colOff>200025</xdr:colOff>
      <xdr:row>66</xdr:row>
      <xdr:rowOff>57150</xdr:rowOff>
    </xdr:to>
    <xdr:sp>
      <xdr:nvSpPr>
        <xdr:cNvPr id="73" name="TextBox 85"/>
        <xdr:cNvSpPr txBox="1">
          <a:spLocks noChangeArrowheads="1"/>
        </xdr:cNvSpPr>
      </xdr:nvSpPr>
      <xdr:spPr>
        <a:xfrm>
          <a:off x="6286500" y="91154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7</xdr:col>
      <xdr:colOff>266700</xdr:colOff>
      <xdr:row>67</xdr:row>
      <xdr:rowOff>161925</xdr:rowOff>
    </xdr:from>
    <xdr:to>
      <xdr:col>7</xdr:col>
      <xdr:colOff>438150</xdr:colOff>
      <xdr:row>68</xdr:row>
      <xdr:rowOff>152400</xdr:rowOff>
    </xdr:to>
    <xdr:sp>
      <xdr:nvSpPr>
        <xdr:cNvPr id="74" name="TextBox 86"/>
        <xdr:cNvSpPr txBox="1">
          <a:spLocks noChangeArrowheads="1"/>
        </xdr:cNvSpPr>
      </xdr:nvSpPr>
      <xdr:spPr>
        <a:xfrm>
          <a:off x="6524625" y="95631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12</xdr:col>
      <xdr:colOff>47625</xdr:colOff>
      <xdr:row>84</xdr:row>
      <xdr:rowOff>28575</xdr:rowOff>
    </xdr:from>
    <xdr:to>
      <xdr:col>12</xdr:col>
      <xdr:colOff>219075</xdr:colOff>
      <xdr:row>85</xdr:row>
      <xdr:rowOff>19050</xdr:rowOff>
    </xdr:to>
    <xdr:sp>
      <xdr:nvSpPr>
        <xdr:cNvPr id="75" name="TextBox 87"/>
        <xdr:cNvSpPr txBox="1">
          <a:spLocks noChangeArrowheads="1"/>
        </xdr:cNvSpPr>
      </xdr:nvSpPr>
      <xdr:spPr>
        <a:xfrm>
          <a:off x="10668000" y="124110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12</xdr:col>
      <xdr:colOff>142875</xdr:colOff>
      <xdr:row>83</xdr:row>
      <xdr:rowOff>142875</xdr:rowOff>
    </xdr:from>
    <xdr:to>
      <xdr:col>12</xdr:col>
      <xdr:colOff>485775</xdr:colOff>
      <xdr:row>87</xdr:row>
      <xdr:rowOff>152400</xdr:rowOff>
    </xdr:to>
    <xdr:sp>
      <xdr:nvSpPr>
        <xdr:cNvPr id="76" name="Line 88"/>
        <xdr:cNvSpPr>
          <a:spLocks/>
        </xdr:cNvSpPr>
      </xdr:nvSpPr>
      <xdr:spPr>
        <a:xfrm>
          <a:off x="10763250" y="12353925"/>
          <a:ext cx="342900" cy="714375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87</xdr:row>
      <xdr:rowOff>152400</xdr:rowOff>
    </xdr:from>
    <xdr:to>
      <xdr:col>12</xdr:col>
      <xdr:colOff>485775</xdr:colOff>
      <xdr:row>87</xdr:row>
      <xdr:rowOff>152400</xdr:rowOff>
    </xdr:to>
    <xdr:sp>
      <xdr:nvSpPr>
        <xdr:cNvPr id="77" name="Line 89"/>
        <xdr:cNvSpPr>
          <a:spLocks/>
        </xdr:cNvSpPr>
      </xdr:nvSpPr>
      <xdr:spPr>
        <a:xfrm>
          <a:off x="9839325" y="130683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86</xdr:row>
      <xdr:rowOff>142875</xdr:rowOff>
    </xdr:from>
    <xdr:to>
      <xdr:col>12</xdr:col>
      <xdr:colOff>371475</xdr:colOff>
      <xdr:row>87</xdr:row>
      <xdr:rowOff>133350</xdr:rowOff>
    </xdr:to>
    <xdr:sp>
      <xdr:nvSpPr>
        <xdr:cNvPr id="78" name="TextBox 90"/>
        <xdr:cNvSpPr txBox="1">
          <a:spLocks noChangeArrowheads="1"/>
        </xdr:cNvSpPr>
      </xdr:nvSpPr>
      <xdr:spPr>
        <a:xfrm>
          <a:off x="10820400" y="128778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86</xdr:row>
      <xdr:rowOff>123825</xdr:rowOff>
    </xdr:from>
    <xdr:to>
      <xdr:col>11</xdr:col>
      <xdr:colOff>447675</xdr:colOff>
      <xdr:row>87</xdr:row>
      <xdr:rowOff>114300</xdr:rowOff>
    </xdr:to>
    <xdr:sp>
      <xdr:nvSpPr>
        <xdr:cNvPr id="79" name="TextBox 91">
          <a:hlinkClick r:id="rId10"/>
        </xdr:cNvPr>
        <xdr:cNvSpPr txBox="1">
          <a:spLocks noChangeArrowheads="1"/>
        </xdr:cNvSpPr>
      </xdr:nvSpPr>
      <xdr:spPr>
        <a:xfrm>
          <a:off x="10077450" y="128587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87</xdr:row>
      <xdr:rowOff>161925</xdr:rowOff>
    </xdr:from>
    <xdr:to>
      <xdr:col>11</xdr:col>
      <xdr:colOff>171450</xdr:colOff>
      <xdr:row>88</xdr:row>
      <xdr:rowOff>152400</xdr:rowOff>
    </xdr:to>
    <xdr:sp>
      <xdr:nvSpPr>
        <xdr:cNvPr id="80" name="TextBox 92"/>
        <xdr:cNvSpPr txBox="1">
          <a:spLocks noChangeArrowheads="1"/>
        </xdr:cNvSpPr>
      </xdr:nvSpPr>
      <xdr:spPr>
        <a:xfrm>
          <a:off x="9801225" y="130778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11</xdr:col>
      <xdr:colOff>47625</xdr:colOff>
      <xdr:row>83</xdr:row>
      <xdr:rowOff>114300</xdr:rowOff>
    </xdr:from>
    <xdr:to>
      <xdr:col>12</xdr:col>
      <xdr:colOff>142875</xdr:colOff>
      <xdr:row>87</xdr:row>
      <xdr:rowOff>142875</xdr:rowOff>
    </xdr:to>
    <xdr:sp>
      <xdr:nvSpPr>
        <xdr:cNvPr id="81" name="Line 93"/>
        <xdr:cNvSpPr>
          <a:spLocks/>
        </xdr:cNvSpPr>
      </xdr:nvSpPr>
      <xdr:spPr>
        <a:xfrm flipV="1">
          <a:off x="9848850" y="12325350"/>
          <a:ext cx="9144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85</xdr:row>
      <xdr:rowOff>104775</xdr:rowOff>
    </xdr:from>
    <xdr:to>
      <xdr:col>7</xdr:col>
      <xdr:colOff>542925</xdr:colOff>
      <xdr:row>85</xdr:row>
      <xdr:rowOff>104775</xdr:rowOff>
    </xdr:to>
    <xdr:sp>
      <xdr:nvSpPr>
        <xdr:cNvPr id="82" name="Line 94"/>
        <xdr:cNvSpPr>
          <a:spLocks/>
        </xdr:cNvSpPr>
      </xdr:nvSpPr>
      <xdr:spPr>
        <a:xfrm flipV="1">
          <a:off x="5524500" y="12658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85</xdr:row>
      <xdr:rowOff>114300</xdr:rowOff>
    </xdr:from>
    <xdr:to>
      <xdr:col>7</xdr:col>
      <xdr:colOff>561975</xdr:colOff>
      <xdr:row>89</xdr:row>
      <xdr:rowOff>28575</xdr:rowOff>
    </xdr:to>
    <xdr:sp>
      <xdr:nvSpPr>
        <xdr:cNvPr id="83" name="Line 95"/>
        <xdr:cNvSpPr>
          <a:spLocks/>
        </xdr:cNvSpPr>
      </xdr:nvSpPr>
      <xdr:spPr>
        <a:xfrm flipV="1">
          <a:off x="5676900" y="12668250"/>
          <a:ext cx="114300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85</xdr:row>
      <xdr:rowOff>114300</xdr:rowOff>
    </xdr:from>
    <xdr:to>
      <xdr:col>7</xdr:col>
      <xdr:colOff>409575</xdr:colOff>
      <xdr:row>89</xdr:row>
      <xdr:rowOff>38100</xdr:rowOff>
    </xdr:to>
    <xdr:sp>
      <xdr:nvSpPr>
        <xdr:cNvPr id="84" name="Line 96"/>
        <xdr:cNvSpPr>
          <a:spLocks/>
        </xdr:cNvSpPr>
      </xdr:nvSpPr>
      <xdr:spPr>
        <a:xfrm flipH="1" flipV="1">
          <a:off x="5553075" y="12668250"/>
          <a:ext cx="1114425" cy="638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84</xdr:row>
      <xdr:rowOff>9525</xdr:rowOff>
    </xdr:from>
    <xdr:to>
      <xdr:col>8</xdr:col>
      <xdr:colOff>38100</xdr:colOff>
      <xdr:row>86</xdr:row>
      <xdr:rowOff>19050</xdr:rowOff>
    </xdr:to>
    <xdr:sp>
      <xdr:nvSpPr>
        <xdr:cNvPr id="85" name="Line 97"/>
        <xdr:cNvSpPr>
          <a:spLocks/>
        </xdr:cNvSpPr>
      </xdr:nvSpPr>
      <xdr:spPr>
        <a:xfrm flipH="1">
          <a:off x="6353175" y="12392025"/>
          <a:ext cx="638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85</xdr:row>
      <xdr:rowOff>114300</xdr:rowOff>
    </xdr:from>
    <xdr:to>
      <xdr:col>7</xdr:col>
      <xdr:colOff>104775</xdr:colOff>
      <xdr:row>85</xdr:row>
      <xdr:rowOff>114300</xdr:rowOff>
    </xdr:to>
    <xdr:sp>
      <xdr:nvSpPr>
        <xdr:cNvPr id="86" name="Line 98"/>
        <xdr:cNvSpPr>
          <a:spLocks/>
        </xdr:cNvSpPr>
      </xdr:nvSpPr>
      <xdr:spPr>
        <a:xfrm>
          <a:off x="5972175" y="12668250"/>
          <a:ext cx="3905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86</xdr:row>
      <xdr:rowOff>142875</xdr:rowOff>
    </xdr:from>
    <xdr:to>
      <xdr:col>7</xdr:col>
      <xdr:colOff>180975</xdr:colOff>
      <xdr:row>87</xdr:row>
      <xdr:rowOff>76200</xdr:rowOff>
    </xdr:to>
    <xdr:sp>
      <xdr:nvSpPr>
        <xdr:cNvPr id="87" name="Line 99"/>
        <xdr:cNvSpPr>
          <a:spLocks/>
        </xdr:cNvSpPr>
      </xdr:nvSpPr>
      <xdr:spPr>
        <a:xfrm flipV="1">
          <a:off x="6086475" y="12877800"/>
          <a:ext cx="352425" cy="114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85</xdr:row>
      <xdr:rowOff>114300</xdr:rowOff>
    </xdr:from>
    <xdr:to>
      <xdr:col>6</xdr:col>
      <xdr:colOff>552450</xdr:colOff>
      <xdr:row>86</xdr:row>
      <xdr:rowOff>123825</xdr:rowOff>
    </xdr:to>
    <xdr:sp>
      <xdr:nvSpPr>
        <xdr:cNvPr id="88" name="Line 100"/>
        <xdr:cNvSpPr>
          <a:spLocks/>
        </xdr:cNvSpPr>
      </xdr:nvSpPr>
      <xdr:spPr>
        <a:xfrm flipV="1">
          <a:off x="5876925" y="12668250"/>
          <a:ext cx="85725" cy="1905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86</xdr:row>
      <xdr:rowOff>123825</xdr:rowOff>
    </xdr:from>
    <xdr:to>
      <xdr:col>6</xdr:col>
      <xdr:colOff>676275</xdr:colOff>
      <xdr:row>87</xdr:row>
      <xdr:rowOff>85725</xdr:rowOff>
    </xdr:to>
    <xdr:sp>
      <xdr:nvSpPr>
        <xdr:cNvPr id="89" name="Line 101"/>
        <xdr:cNvSpPr>
          <a:spLocks/>
        </xdr:cNvSpPr>
      </xdr:nvSpPr>
      <xdr:spPr>
        <a:xfrm flipH="1" flipV="1">
          <a:off x="5876925" y="12858750"/>
          <a:ext cx="209550" cy="1428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85</xdr:row>
      <xdr:rowOff>133350</xdr:rowOff>
    </xdr:from>
    <xdr:to>
      <xdr:col>7</xdr:col>
      <xdr:colOff>180975</xdr:colOff>
      <xdr:row>86</xdr:row>
      <xdr:rowOff>133350</xdr:rowOff>
    </xdr:to>
    <xdr:sp>
      <xdr:nvSpPr>
        <xdr:cNvPr id="90" name="Line 102"/>
        <xdr:cNvSpPr>
          <a:spLocks/>
        </xdr:cNvSpPr>
      </xdr:nvSpPr>
      <xdr:spPr>
        <a:xfrm flipH="1" flipV="1">
          <a:off x="6362700" y="12687300"/>
          <a:ext cx="76200" cy="1809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89</xdr:row>
      <xdr:rowOff>38100</xdr:rowOff>
    </xdr:from>
    <xdr:to>
      <xdr:col>7</xdr:col>
      <xdr:colOff>561975</xdr:colOff>
      <xdr:row>89</xdr:row>
      <xdr:rowOff>142875</xdr:rowOff>
    </xdr:to>
    <xdr:sp>
      <xdr:nvSpPr>
        <xdr:cNvPr id="91" name="Line 103"/>
        <xdr:cNvSpPr>
          <a:spLocks/>
        </xdr:cNvSpPr>
      </xdr:nvSpPr>
      <xdr:spPr>
        <a:xfrm flipH="1" flipV="1">
          <a:off x="6286500" y="13306425"/>
          <a:ext cx="533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28575</xdr:rowOff>
    </xdr:from>
    <xdr:to>
      <xdr:col>6</xdr:col>
      <xdr:colOff>323850</xdr:colOff>
      <xdr:row>48</xdr:row>
      <xdr:rowOff>142875</xdr:rowOff>
    </xdr:to>
    <xdr:sp>
      <xdr:nvSpPr>
        <xdr:cNvPr id="92" name="Line 104"/>
        <xdr:cNvSpPr>
          <a:spLocks/>
        </xdr:cNvSpPr>
      </xdr:nvSpPr>
      <xdr:spPr>
        <a:xfrm flipH="1">
          <a:off x="5486400" y="5600700"/>
          <a:ext cx="247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48</xdr:row>
      <xdr:rowOff>142875</xdr:rowOff>
    </xdr:from>
    <xdr:to>
      <xdr:col>6</xdr:col>
      <xdr:colOff>342900</xdr:colOff>
      <xdr:row>51</xdr:row>
      <xdr:rowOff>76200</xdr:rowOff>
    </xdr:to>
    <xdr:sp>
      <xdr:nvSpPr>
        <xdr:cNvPr id="93" name="Line 105"/>
        <xdr:cNvSpPr>
          <a:spLocks/>
        </xdr:cNvSpPr>
      </xdr:nvSpPr>
      <xdr:spPr>
        <a:xfrm>
          <a:off x="5514975" y="6105525"/>
          <a:ext cx="238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48</xdr:row>
      <xdr:rowOff>104775</xdr:rowOff>
    </xdr:from>
    <xdr:to>
      <xdr:col>7</xdr:col>
      <xdr:colOff>600075</xdr:colOff>
      <xdr:row>51</xdr:row>
      <xdr:rowOff>66675</xdr:rowOff>
    </xdr:to>
    <xdr:sp>
      <xdr:nvSpPr>
        <xdr:cNvPr id="94" name="Line 106"/>
        <xdr:cNvSpPr>
          <a:spLocks/>
        </xdr:cNvSpPr>
      </xdr:nvSpPr>
      <xdr:spPr>
        <a:xfrm flipH="1">
          <a:off x="6591300" y="6067425"/>
          <a:ext cx="266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44</xdr:row>
      <xdr:rowOff>114300</xdr:rowOff>
    </xdr:from>
    <xdr:to>
      <xdr:col>7</xdr:col>
      <xdr:colOff>66675</xdr:colOff>
      <xdr:row>45</xdr:row>
      <xdr:rowOff>114300</xdr:rowOff>
    </xdr:to>
    <xdr:sp>
      <xdr:nvSpPr>
        <xdr:cNvPr id="95" name="TextBox 107"/>
        <xdr:cNvSpPr txBox="1">
          <a:spLocks noChangeArrowheads="1"/>
        </xdr:cNvSpPr>
      </xdr:nvSpPr>
      <xdr:spPr>
        <a:xfrm>
          <a:off x="5991225" y="5343525"/>
          <a:ext cx="333375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7</xdr:col>
      <xdr:colOff>447675</xdr:colOff>
      <xdr:row>45</xdr:row>
      <xdr:rowOff>142875</xdr:rowOff>
    </xdr:from>
    <xdr:to>
      <xdr:col>7</xdr:col>
      <xdr:colOff>619125</xdr:colOff>
      <xdr:row>46</xdr:row>
      <xdr:rowOff>142875</xdr:rowOff>
    </xdr:to>
    <xdr:sp>
      <xdr:nvSpPr>
        <xdr:cNvPr id="96" name="TextBox 108"/>
        <xdr:cNvSpPr txBox="1">
          <a:spLocks noChangeArrowheads="1"/>
        </xdr:cNvSpPr>
      </xdr:nvSpPr>
      <xdr:spPr>
        <a:xfrm>
          <a:off x="6705600" y="55435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
B</a:t>
          </a:r>
        </a:p>
      </xdr:txBody>
    </xdr:sp>
    <xdr:clientData/>
  </xdr:twoCellAnchor>
  <xdr:twoCellAnchor>
    <xdr:from>
      <xdr:col>6</xdr:col>
      <xdr:colOff>333375</xdr:colOff>
      <xdr:row>46</xdr:row>
      <xdr:rowOff>0</xdr:rowOff>
    </xdr:from>
    <xdr:to>
      <xdr:col>7</xdr:col>
      <xdr:colOff>571500</xdr:colOff>
      <xdr:row>48</xdr:row>
      <xdr:rowOff>123825</xdr:rowOff>
    </xdr:to>
    <xdr:sp>
      <xdr:nvSpPr>
        <xdr:cNvPr id="97" name="Line 109"/>
        <xdr:cNvSpPr>
          <a:spLocks/>
        </xdr:cNvSpPr>
      </xdr:nvSpPr>
      <xdr:spPr>
        <a:xfrm>
          <a:off x="5743575" y="5572125"/>
          <a:ext cx="1085850" cy="5143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20</xdr:row>
      <xdr:rowOff>28575</xdr:rowOff>
    </xdr:from>
    <xdr:to>
      <xdr:col>2</xdr:col>
      <xdr:colOff>800100</xdr:colOff>
      <xdr:row>22</xdr:row>
      <xdr:rowOff>85725</xdr:rowOff>
    </xdr:to>
    <xdr:sp>
      <xdr:nvSpPr>
        <xdr:cNvPr id="98" name="TextBox 110"/>
        <xdr:cNvSpPr txBox="1">
          <a:spLocks noChangeArrowheads="1"/>
        </xdr:cNvSpPr>
      </xdr:nvSpPr>
      <xdr:spPr>
        <a:xfrm>
          <a:off x="2371725" y="3733800"/>
          <a:ext cx="571500" cy="4286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342900</xdr:colOff>
      <xdr:row>20</xdr:row>
      <xdr:rowOff>76200</xdr:rowOff>
    </xdr:from>
    <xdr:to>
      <xdr:col>2</xdr:col>
      <xdr:colOff>723900</xdr:colOff>
      <xdr:row>20</xdr:row>
      <xdr:rowOff>85725</xdr:rowOff>
    </xdr:to>
    <xdr:sp>
      <xdr:nvSpPr>
        <xdr:cNvPr id="99" name="Line 111"/>
        <xdr:cNvSpPr>
          <a:spLocks/>
        </xdr:cNvSpPr>
      </xdr:nvSpPr>
      <xdr:spPr>
        <a:xfrm>
          <a:off x="2486025" y="3781425"/>
          <a:ext cx="381000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20</xdr:row>
      <xdr:rowOff>38100</xdr:rowOff>
    </xdr:from>
    <xdr:to>
      <xdr:col>4</xdr:col>
      <xdr:colOff>123825</xdr:colOff>
      <xdr:row>22</xdr:row>
      <xdr:rowOff>95250</xdr:rowOff>
    </xdr:to>
    <xdr:sp>
      <xdr:nvSpPr>
        <xdr:cNvPr id="100" name="TextBox 112"/>
        <xdr:cNvSpPr txBox="1">
          <a:spLocks noChangeArrowheads="1"/>
        </xdr:cNvSpPr>
      </xdr:nvSpPr>
      <xdr:spPr>
        <a:xfrm>
          <a:off x="3333750" y="3743325"/>
          <a:ext cx="581025" cy="4286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3</xdr:col>
      <xdr:colOff>495300</xdr:colOff>
      <xdr:row>20</xdr:row>
      <xdr:rowOff>152400</xdr:rowOff>
    </xdr:from>
    <xdr:to>
      <xdr:col>3</xdr:col>
      <xdr:colOff>752475</xdr:colOff>
      <xdr:row>20</xdr:row>
      <xdr:rowOff>152400</xdr:rowOff>
    </xdr:to>
    <xdr:sp>
      <xdr:nvSpPr>
        <xdr:cNvPr id="101" name="Line 113"/>
        <xdr:cNvSpPr>
          <a:spLocks/>
        </xdr:cNvSpPr>
      </xdr:nvSpPr>
      <xdr:spPr>
        <a:xfrm flipV="1">
          <a:off x="3457575" y="3857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20</xdr:row>
      <xdr:rowOff>28575</xdr:rowOff>
    </xdr:from>
    <xdr:to>
      <xdr:col>5</xdr:col>
      <xdr:colOff>257175</xdr:colOff>
      <xdr:row>22</xdr:row>
      <xdr:rowOff>85725</xdr:rowOff>
    </xdr:to>
    <xdr:sp>
      <xdr:nvSpPr>
        <xdr:cNvPr id="102" name="TextBox 114"/>
        <xdr:cNvSpPr txBox="1">
          <a:spLocks noChangeArrowheads="1"/>
        </xdr:cNvSpPr>
      </xdr:nvSpPr>
      <xdr:spPr>
        <a:xfrm>
          <a:off x="4238625" y="3733800"/>
          <a:ext cx="657225" cy="4286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571500</xdr:colOff>
      <xdr:row>20</xdr:row>
      <xdr:rowOff>142875</xdr:rowOff>
    </xdr:from>
    <xdr:to>
      <xdr:col>5</xdr:col>
      <xdr:colOff>66675</xdr:colOff>
      <xdr:row>20</xdr:row>
      <xdr:rowOff>142875</xdr:rowOff>
    </xdr:to>
    <xdr:sp>
      <xdr:nvSpPr>
        <xdr:cNvPr id="103" name="Line 115"/>
        <xdr:cNvSpPr>
          <a:spLocks/>
        </xdr:cNvSpPr>
      </xdr:nvSpPr>
      <xdr:spPr>
        <a:xfrm flipV="1">
          <a:off x="4362450" y="3848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85725</xdr:rowOff>
    </xdr:from>
    <xdr:to>
      <xdr:col>4</xdr:col>
      <xdr:colOff>361950</xdr:colOff>
      <xdr:row>21</xdr:row>
      <xdr:rowOff>85725</xdr:rowOff>
    </xdr:to>
    <xdr:sp>
      <xdr:nvSpPr>
        <xdr:cNvPr id="104" name="Line 116"/>
        <xdr:cNvSpPr>
          <a:spLocks/>
        </xdr:cNvSpPr>
      </xdr:nvSpPr>
      <xdr:spPr>
        <a:xfrm>
          <a:off x="3990975" y="3971925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47625</xdr:rowOff>
    </xdr:from>
    <xdr:to>
      <xdr:col>3</xdr:col>
      <xdr:colOff>247650</xdr:colOff>
      <xdr:row>21</xdr:row>
      <xdr:rowOff>47625</xdr:rowOff>
    </xdr:to>
    <xdr:sp>
      <xdr:nvSpPr>
        <xdr:cNvPr id="105" name="Line 117"/>
        <xdr:cNvSpPr>
          <a:spLocks/>
        </xdr:cNvSpPr>
      </xdr:nvSpPr>
      <xdr:spPr>
        <a:xfrm>
          <a:off x="3048000" y="3933825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142875</xdr:rowOff>
    </xdr:from>
    <xdr:to>
      <xdr:col>3</xdr:col>
      <xdr:colOff>247650</xdr:colOff>
      <xdr:row>21</xdr:row>
      <xdr:rowOff>142875</xdr:rowOff>
    </xdr:to>
    <xdr:sp>
      <xdr:nvSpPr>
        <xdr:cNvPr id="106" name="Line 118"/>
        <xdr:cNvSpPr>
          <a:spLocks/>
        </xdr:cNvSpPr>
      </xdr:nvSpPr>
      <xdr:spPr>
        <a:xfrm>
          <a:off x="3048000" y="4029075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6</xdr:row>
      <xdr:rowOff>66675</xdr:rowOff>
    </xdr:from>
    <xdr:to>
      <xdr:col>3</xdr:col>
      <xdr:colOff>447675</xdr:colOff>
      <xdr:row>8</xdr:row>
      <xdr:rowOff>133350</xdr:rowOff>
    </xdr:to>
    <xdr:sp>
      <xdr:nvSpPr>
        <xdr:cNvPr id="107" name="TextBox 119"/>
        <xdr:cNvSpPr txBox="1">
          <a:spLocks noChangeArrowheads="1"/>
        </xdr:cNvSpPr>
      </xdr:nvSpPr>
      <xdr:spPr>
        <a:xfrm>
          <a:off x="2838450" y="1238250"/>
          <a:ext cx="571500" cy="4572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600075</xdr:colOff>
      <xdr:row>6</xdr:row>
      <xdr:rowOff>66675</xdr:rowOff>
    </xdr:from>
    <xdr:to>
      <xdr:col>1</xdr:col>
      <xdr:colOff>1171575</xdr:colOff>
      <xdr:row>8</xdr:row>
      <xdr:rowOff>133350</xdr:rowOff>
    </xdr:to>
    <xdr:sp>
      <xdr:nvSpPr>
        <xdr:cNvPr id="108" name="TextBox 120"/>
        <xdr:cNvSpPr txBox="1">
          <a:spLocks noChangeArrowheads="1"/>
        </xdr:cNvSpPr>
      </xdr:nvSpPr>
      <xdr:spPr>
        <a:xfrm>
          <a:off x="1524000" y="1238250"/>
          <a:ext cx="571500" cy="4572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257175</xdr:colOff>
      <xdr:row>6</xdr:row>
      <xdr:rowOff>161925</xdr:rowOff>
    </xdr:from>
    <xdr:to>
      <xdr:col>2</xdr:col>
      <xdr:colOff>447675</xdr:colOff>
      <xdr:row>8</xdr:row>
      <xdr:rowOff>0</xdr:rowOff>
    </xdr:to>
    <xdr:sp>
      <xdr:nvSpPr>
        <xdr:cNvPr id="109" name="Line 121"/>
        <xdr:cNvSpPr>
          <a:spLocks/>
        </xdr:cNvSpPr>
      </xdr:nvSpPr>
      <xdr:spPr>
        <a:xfrm>
          <a:off x="2400300" y="1333500"/>
          <a:ext cx="19050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161925</xdr:rowOff>
    </xdr:from>
    <xdr:to>
      <xdr:col>2</xdr:col>
      <xdr:colOff>447675</xdr:colOff>
      <xdr:row>8</xdr:row>
      <xdr:rowOff>0</xdr:rowOff>
    </xdr:to>
    <xdr:sp>
      <xdr:nvSpPr>
        <xdr:cNvPr id="110" name="Line 122"/>
        <xdr:cNvSpPr>
          <a:spLocks/>
        </xdr:cNvSpPr>
      </xdr:nvSpPr>
      <xdr:spPr>
        <a:xfrm flipV="1">
          <a:off x="2400300" y="1333500"/>
          <a:ext cx="19050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285750</xdr:colOff>
      <xdr:row>7</xdr:row>
      <xdr:rowOff>9525</xdr:rowOff>
    </xdr:to>
    <xdr:sp>
      <xdr:nvSpPr>
        <xdr:cNvPr id="111" name="Line 123"/>
        <xdr:cNvSpPr>
          <a:spLocks/>
        </xdr:cNvSpPr>
      </xdr:nvSpPr>
      <xdr:spPr>
        <a:xfrm flipV="1">
          <a:off x="2990850" y="135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7</xdr:row>
      <xdr:rowOff>9525</xdr:rowOff>
    </xdr:from>
    <xdr:to>
      <xdr:col>1</xdr:col>
      <xdr:colOff>981075</xdr:colOff>
      <xdr:row>7</xdr:row>
      <xdr:rowOff>9525</xdr:rowOff>
    </xdr:to>
    <xdr:sp>
      <xdr:nvSpPr>
        <xdr:cNvPr id="112" name="Line 124"/>
        <xdr:cNvSpPr>
          <a:spLocks/>
        </xdr:cNvSpPr>
      </xdr:nvSpPr>
      <xdr:spPr>
        <a:xfrm flipV="1">
          <a:off x="1647825" y="135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48</xdr:row>
      <xdr:rowOff>28575</xdr:rowOff>
    </xdr:from>
    <xdr:to>
      <xdr:col>15</xdr:col>
      <xdr:colOff>685800</xdr:colOff>
      <xdr:row>50</xdr:row>
      <xdr:rowOff>85725</xdr:rowOff>
    </xdr:to>
    <xdr:sp>
      <xdr:nvSpPr>
        <xdr:cNvPr id="113" name="TextBox 127"/>
        <xdr:cNvSpPr txBox="1">
          <a:spLocks noChangeArrowheads="1"/>
        </xdr:cNvSpPr>
      </xdr:nvSpPr>
      <xdr:spPr>
        <a:xfrm>
          <a:off x="13077825" y="5991225"/>
          <a:ext cx="457200" cy="4095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15</xdr:col>
      <xdr:colOff>342900</xdr:colOff>
      <xdr:row>48</xdr:row>
      <xdr:rowOff>76200</xdr:rowOff>
    </xdr:from>
    <xdr:to>
      <xdr:col>15</xdr:col>
      <xdr:colOff>685800</xdr:colOff>
      <xdr:row>48</xdr:row>
      <xdr:rowOff>85725</xdr:rowOff>
    </xdr:to>
    <xdr:sp>
      <xdr:nvSpPr>
        <xdr:cNvPr id="114" name="Line 128"/>
        <xdr:cNvSpPr>
          <a:spLocks/>
        </xdr:cNvSpPr>
      </xdr:nvSpPr>
      <xdr:spPr>
        <a:xfrm>
          <a:off x="13192125" y="6038850"/>
          <a:ext cx="342900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51</xdr:row>
      <xdr:rowOff>47625</xdr:rowOff>
    </xdr:from>
    <xdr:to>
      <xdr:col>7</xdr:col>
      <xdr:colOff>314325</xdr:colOff>
      <xdr:row>51</xdr:row>
      <xdr:rowOff>47625</xdr:rowOff>
    </xdr:to>
    <xdr:sp>
      <xdr:nvSpPr>
        <xdr:cNvPr id="115" name="Line 131"/>
        <xdr:cNvSpPr>
          <a:spLocks/>
        </xdr:cNvSpPr>
      </xdr:nvSpPr>
      <xdr:spPr>
        <a:xfrm flipH="1">
          <a:off x="5762625" y="65436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45</xdr:row>
      <xdr:rowOff>161925</xdr:rowOff>
    </xdr:from>
    <xdr:to>
      <xdr:col>7</xdr:col>
      <xdr:colOff>304800</xdr:colOff>
      <xdr:row>45</xdr:row>
      <xdr:rowOff>161925</xdr:rowOff>
    </xdr:to>
    <xdr:sp>
      <xdr:nvSpPr>
        <xdr:cNvPr id="116" name="Line 132"/>
        <xdr:cNvSpPr>
          <a:spLocks/>
        </xdr:cNvSpPr>
      </xdr:nvSpPr>
      <xdr:spPr>
        <a:xfrm flipH="1" flipV="1">
          <a:off x="5753100" y="5562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46</xdr:row>
      <xdr:rowOff>0</xdr:rowOff>
    </xdr:from>
    <xdr:to>
      <xdr:col>7</xdr:col>
      <xdr:colOff>581025</xdr:colOff>
      <xdr:row>48</xdr:row>
      <xdr:rowOff>85725</xdr:rowOff>
    </xdr:to>
    <xdr:sp>
      <xdr:nvSpPr>
        <xdr:cNvPr id="117" name="Line 133"/>
        <xdr:cNvSpPr>
          <a:spLocks/>
        </xdr:cNvSpPr>
      </xdr:nvSpPr>
      <xdr:spPr>
        <a:xfrm>
          <a:off x="6572250" y="5572125"/>
          <a:ext cx="266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45</xdr:row>
      <xdr:rowOff>76200</xdr:rowOff>
    </xdr:from>
    <xdr:to>
      <xdr:col>12</xdr:col>
      <xdr:colOff>600075</xdr:colOff>
      <xdr:row>52</xdr:row>
      <xdr:rowOff>0</xdr:rowOff>
    </xdr:to>
    <xdr:sp>
      <xdr:nvSpPr>
        <xdr:cNvPr id="118" name="Oval 134"/>
        <xdr:cNvSpPr>
          <a:spLocks/>
        </xdr:cNvSpPr>
      </xdr:nvSpPr>
      <xdr:spPr>
        <a:xfrm>
          <a:off x="9877425" y="5476875"/>
          <a:ext cx="1343025" cy="1190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44</xdr:row>
      <xdr:rowOff>142875</xdr:rowOff>
    </xdr:from>
    <xdr:to>
      <xdr:col>12</xdr:col>
      <xdr:colOff>428625</xdr:colOff>
      <xdr:row>45</xdr:row>
      <xdr:rowOff>142875</xdr:rowOff>
    </xdr:to>
    <xdr:sp>
      <xdr:nvSpPr>
        <xdr:cNvPr id="119" name="TextBox 135">
          <a:hlinkClick r:id="rId11"/>
        </xdr:cNvPr>
        <xdr:cNvSpPr txBox="1">
          <a:spLocks noChangeArrowheads="1"/>
        </xdr:cNvSpPr>
      </xdr:nvSpPr>
      <xdr:spPr>
        <a:xfrm>
          <a:off x="10877550" y="53721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13</xdr:col>
      <xdr:colOff>85725</xdr:colOff>
      <xdr:row>44</xdr:row>
      <xdr:rowOff>104775</xdr:rowOff>
    </xdr:from>
    <xdr:to>
      <xdr:col>13</xdr:col>
      <xdr:colOff>257175</xdr:colOff>
      <xdr:row>45</xdr:row>
      <xdr:rowOff>95250</xdr:rowOff>
    </xdr:to>
    <xdr:sp>
      <xdr:nvSpPr>
        <xdr:cNvPr id="120" name="TextBox 136"/>
        <xdr:cNvSpPr txBox="1">
          <a:spLocks noChangeArrowheads="1"/>
        </xdr:cNvSpPr>
      </xdr:nvSpPr>
      <xdr:spPr>
        <a:xfrm>
          <a:off x="11477625" y="53340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11</xdr:col>
      <xdr:colOff>638175</xdr:colOff>
      <xdr:row>47</xdr:row>
      <xdr:rowOff>76200</xdr:rowOff>
    </xdr:from>
    <xdr:to>
      <xdr:col>12</xdr:col>
      <xdr:colOff>171450</xdr:colOff>
      <xdr:row>49</xdr:row>
      <xdr:rowOff>0</xdr:rowOff>
    </xdr:to>
    <xdr:sp>
      <xdr:nvSpPr>
        <xdr:cNvPr id="121" name="TextBox 137"/>
        <xdr:cNvSpPr txBox="1">
          <a:spLocks noChangeArrowheads="1"/>
        </xdr:cNvSpPr>
      </xdr:nvSpPr>
      <xdr:spPr>
        <a:xfrm>
          <a:off x="10439400" y="5819775"/>
          <a:ext cx="352425" cy="3238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11</xdr:col>
      <xdr:colOff>76200</xdr:colOff>
      <xdr:row>46</xdr:row>
      <xdr:rowOff>28575</xdr:rowOff>
    </xdr:from>
    <xdr:to>
      <xdr:col>11</xdr:col>
      <xdr:colOff>323850</xdr:colOff>
      <xdr:row>48</xdr:row>
      <xdr:rowOff>142875</xdr:rowOff>
    </xdr:to>
    <xdr:sp>
      <xdr:nvSpPr>
        <xdr:cNvPr id="122" name="Line 138"/>
        <xdr:cNvSpPr>
          <a:spLocks/>
        </xdr:cNvSpPr>
      </xdr:nvSpPr>
      <xdr:spPr>
        <a:xfrm flipH="1">
          <a:off x="9877425" y="5600700"/>
          <a:ext cx="247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48</xdr:row>
      <xdr:rowOff>142875</xdr:rowOff>
    </xdr:from>
    <xdr:to>
      <xdr:col>11</xdr:col>
      <xdr:colOff>342900</xdr:colOff>
      <xdr:row>51</xdr:row>
      <xdr:rowOff>76200</xdr:rowOff>
    </xdr:to>
    <xdr:sp>
      <xdr:nvSpPr>
        <xdr:cNvPr id="123" name="Line 139"/>
        <xdr:cNvSpPr>
          <a:spLocks/>
        </xdr:cNvSpPr>
      </xdr:nvSpPr>
      <xdr:spPr>
        <a:xfrm>
          <a:off x="9906000" y="6105525"/>
          <a:ext cx="238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48</xdr:row>
      <xdr:rowOff>104775</xdr:rowOff>
    </xdr:from>
    <xdr:to>
      <xdr:col>12</xdr:col>
      <xdr:colOff>600075</xdr:colOff>
      <xdr:row>51</xdr:row>
      <xdr:rowOff>66675</xdr:rowOff>
    </xdr:to>
    <xdr:sp>
      <xdr:nvSpPr>
        <xdr:cNvPr id="124" name="Line 140"/>
        <xdr:cNvSpPr>
          <a:spLocks/>
        </xdr:cNvSpPr>
      </xdr:nvSpPr>
      <xdr:spPr>
        <a:xfrm flipH="1">
          <a:off x="10953750" y="6067425"/>
          <a:ext cx="266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44</xdr:row>
      <xdr:rowOff>114300</xdr:rowOff>
    </xdr:from>
    <xdr:to>
      <xdr:col>12</xdr:col>
      <xdr:colOff>66675</xdr:colOff>
      <xdr:row>45</xdr:row>
      <xdr:rowOff>114300</xdr:rowOff>
    </xdr:to>
    <xdr:sp>
      <xdr:nvSpPr>
        <xdr:cNvPr id="125" name="TextBox 141"/>
        <xdr:cNvSpPr txBox="1">
          <a:spLocks noChangeArrowheads="1"/>
        </xdr:cNvSpPr>
      </xdr:nvSpPr>
      <xdr:spPr>
        <a:xfrm>
          <a:off x="10382250" y="5343525"/>
          <a:ext cx="30480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12</xdr:col>
      <xdr:colOff>447675</xdr:colOff>
      <xdr:row>45</xdr:row>
      <xdr:rowOff>142875</xdr:rowOff>
    </xdr:from>
    <xdr:to>
      <xdr:col>12</xdr:col>
      <xdr:colOff>619125</xdr:colOff>
      <xdr:row>46</xdr:row>
      <xdr:rowOff>142875</xdr:rowOff>
    </xdr:to>
    <xdr:sp>
      <xdr:nvSpPr>
        <xdr:cNvPr id="126" name="TextBox 142"/>
        <xdr:cNvSpPr txBox="1">
          <a:spLocks noChangeArrowheads="1"/>
        </xdr:cNvSpPr>
      </xdr:nvSpPr>
      <xdr:spPr>
        <a:xfrm>
          <a:off x="11068050" y="55435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
B</a:t>
          </a:r>
        </a:p>
      </xdr:txBody>
    </xdr:sp>
    <xdr:clientData/>
  </xdr:twoCellAnchor>
  <xdr:twoCellAnchor>
    <xdr:from>
      <xdr:col>11</xdr:col>
      <xdr:colOff>333375</xdr:colOff>
      <xdr:row>46</xdr:row>
      <xdr:rowOff>0</xdr:rowOff>
    </xdr:from>
    <xdr:to>
      <xdr:col>12</xdr:col>
      <xdr:colOff>571500</xdr:colOff>
      <xdr:row>48</xdr:row>
      <xdr:rowOff>123825</xdr:rowOff>
    </xdr:to>
    <xdr:sp>
      <xdr:nvSpPr>
        <xdr:cNvPr id="127" name="Line 143"/>
        <xdr:cNvSpPr>
          <a:spLocks/>
        </xdr:cNvSpPr>
      </xdr:nvSpPr>
      <xdr:spPr>
        <a:xfrm>
          <a:off x="10134600" y="5572125"/>
          <a:ext cx="1057275" cy="5143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51</xdr:row>
      <xdr:rowOff>47625</xdr:rowOff>
    </xdr:from>
    <xdr:to>
      <xdr:col>12</xdr:col>
      <xdr:colOff>314325</xdr:colOff>
      <xdr:row>51</xdr:row>
      <xdr:rowOff>47625</xdr:rowOff>
    </xdr:to>
    <xdr:sp>
      <xdr:nvSpPr>
        <xdr:cNvPr id="128" name="Line 144"/>
        <xdr:cNvSpPr>
          <a:spLocks/>
        </xdr:cNvSpPr>
      </xdr:nvSpPr>
      <xdr:spPr>
        <a:xfrm flipH="1">
          <a:off x="10153650" y="65436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45</xdr:row>
      <xdr:rowOff>161925</xdr:rowOff>
    </xdr:from>
    <xdr:to>
      <xdr:col>12</xdr:col>
      <xdr:colOff>304800</xdr:colOff>
      <xdr:row>45</xdr:row>
      <xdr:rowOff>161925</xdr:rowOff>
    </xdr:to>
    <xdr:sp>
      <xdr:nvSpPr>
        <xdr:cNvPr id="129" name="Line 145"/>
        <xdr:cNvSpPr>
          <a:spLocks/>
        </xdr:cNvSpPr>
      </xdr:nvSpPr>
      <xdr:spPr>
        <a:xfrm flipH="1" flipV="1">
          <a:off x="10144125" y="5562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46</xdr:row>
      <xdr:rowOff>0</xdr:rowOff>
    </xdr:from>
    <xdr:to>
      <xdr:col>12</xdr:col>
      <xdr:colOff>581025</xdr:colOff>
      <xdr:row>48</xdr:row>
      <xdr:rowOff>85725</xdr:rowOff>
    </xdr:to>
    <xdr:sp>
      <xdr:nvSpPr>
        <xdr:cNvPr id="130" name="Line 146"/>
        <xdr:cNvSpPr>
          <a:spLocks/>
        </xdr:cNvSpPr>
      </xdr:nvSpPr>
      <xdr:spPr>
        <a:xfrm>
          <a:off x="10934700" y="5572125"/>
          <a:ext cx="266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7</xdr:row>
      <xdr:rowOff>9525</xdr:rowOff>
    </xdr:from>
    <xdr:to>
      <xdr:col>4</xdr:col>
      <xdr:colOff>142875</xdr:colOff>
      <xdr:row>7</xdr:row>
      <xdr:rowOff>28575</xdr:rowOff>
    </xdr:to>
    <xdr:sp>
      <xdr:nvSpPr>
        <xdr:cNvPr id="131" name="Line 147"/>
        <xdr:cNvSpPr>
          <a:spLocks/>
        </xdr:cNvSpPr>
      </xdr:nvSpPr>
      <xdr:spPr>
        <a:xfrm>
          <a:off x="3657600" y="1352550"/>
          <a:ext cx="27622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7</xdr:row>
      <xdr:rowOff>142875</xdr:rowOff>
    </xdr:from>
    <xdr:to>
      <xdr:col>4</xdr:col>
      <xdr:colOff>152400</xdr:colOff>
      <xdr:row>7</xdr:row>
      <xdr:rowOff>142875</xdr:rowOff>
    </xdr:to>
    <xdr:sp>
      <xdr:nvSpPr>
        <xdr:cNvPr id="132" name="Line 148"/>
        <xdr:cNvSpPr>
          <a:spLocks/>
        </xdr:cNvSpPr>
      </xdr:nvSpPr>
      <xdr:spPr>
        <a:xfrm>
          <a:off x="3676650" y="1485900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7</xdr:row>
      <xdr:rowOff>114300</xdr:rowOff>
    </xdr:from>
    <xdr:to>
      <xdr:col>10</xdr:col>
      <xdr:colOff>552450</xdr:colOff>
      <xdr:row>8</xdr:row>
      <xdr:rowOff>57150</xdr:rowOff>
    </xdr:to>
    <xdr:sp>
      <xdr:nvSpPr>
        <xdr:cNvPr id="133" name="TextBox 149"/>
        <xdr:cNvSpPr txBox="1">
          <a:spLocks noChangeArrowheads="1"/>
        </xdr:cNvSpPr>
      </xdr:nvSpPr>
      <xdr:spPr>
        <a:xfrm>
          <a:off x="8963025" y="145732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10</xdr:col>
      <xdr:colOff>619125</xdr:colOff>
      <xdr:row>8</xdr:row>
      <xdr:rowOff>28575</xdr:rowOff>
    </xdr:from>
    <xdr:to>
      <xdr:col>12</xdr:col>
      <xdr:colOff>485775</xdr:colOff>
      <xdr:row>12</xdr:row>
      <xdr:rowOff>152400</xdr:rowOff>
    </xdr:to>
    <xdr:sp>
      <xdr:nvSpPr>
        <xdr:cNvPr id="134" name="Line 150"/>
        <xdr:cNvSpPr>
          <a:spLocks/>
        </xdr:cNvSpPr>
      </xdr:nvSpPr>
      <xdr:spPr>
        <a:xfrm>
          <a:off x="9201150" y="1590675"/>
          <a:ext cx="1905000" cy="876300"/>
        </a:xfrm>
        <a:prstGeom prst="line">
          <a:avLst/>
        </a:prstGeom>
        <a:noFill/>
        <a:ln w="412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11</xdr:row>
      <xdr:rowOff>76200</xdr:rowOff>
    </xdr:from>
    <xdr:to>
      <xdr:col>12</xdr:col>
      <xdr:colOff>476250</xdr:colOff>
      <xdr:row>12</xdr:row>
      <xdr:rowOff>66675</xdr:rowOff>
    </xdr:to>
    <xdr:sp>
      <xdr:nvSpPr>
        <xdr:cNvPr id="135" name="TextBox 151"/>
        <xdr:cNvSpPr txBox="1">
          <a:spLocks noChangeArrowheads="1"/>
        </xdr:cNvSpPr>
      </xdr:nvSpPr>
      <xdr:spPr>
        <a:xfrm>
          <a:off x="10925175" y="220980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11</xdr:col>
      <xdr:colOff>276225</xdr:colOff>
      <xdr:row>11</xdr:row>
      <xdr:rowOff>123825</xdr:rowOff>
    </xdr:from>
    <xdr:to>
      <xdr:col>11</xdr:col>
      <xdr:colOff>447675</xdr:colOff>
      <xdr:row>12</xdr:row>
      <xdr:rowOff>114300</xdr:rowOff>
    </xdr:to>
    <xdr:sp>
      <xdr:nvSpPr>
        <xdr:cNvPr id="136" name="TextBox 152"/>
        <xdr:cNvSpPr txBox="1">
          <a:spLocks noChangeArrowheads="1"/>
        </xdr:cNvSpPr>
      </xdr:nvSpPr>
      <xdr:spPr>
        <a:xfrm>
          <a:off x="10077450" y="22574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11</xdr:col>
      <xdr:colOff>0</xdr:colOff>
      <xdr:row>12</xdr:row>
      <xdr:rowOff>161925</xdr:rowOff>
    </xdr:from>
    <xdr:to>
      <xdr:col>11</xdr:col>
      <xdr:colOff>171450</xdr:colOff>
      <xdr:row>13</xdr:row>
      <xdr:rowOff>152400</xdr:rowOff>
    </xdr:to>
    <xdr:sp>
      <xdr:nvSpPr>
        <xdr:cNvPr id="137" name="TextBox 153"/>
        <xdr:cNvSpPr txBox="1">
          <a:spLocks noChangeArrowheads="1"/>
        </xdr:cNvSpPr>
      </xdr:nvSpPr>
      <xdr:spPr>
        <a:xfrm>
          <a:off x="9801225" y="24765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10</xdr:col>
      <xdr:colOff>638175</xdr:colOff>
      <xdr:row>12</xdr:row>
      <xdr:rowOff>152400</xdr:rowOff>
    </xdr:from>
    <xdr:to>
      <xdr:col>11</xdr:col>
      <xdr:colOff>66675</xdr:colOff>
      <xdr:row>12</xdr:row>
      <xdr:rowOff>152400</xdr:rowOff>
    </xdr:to>
    <xdr:sp>
      <xdr:nvSpPr>
        <xdr:cNvPr id="138" name="Line 159"/>
        <xdr:cNvSpPr>
          <a:spLocks/>
        </xdr:cNvSpPr>
      </xdr:nvSpPr>
      <xdr:spPr>
        <a:xfrm flipV="1">
          <a:off x="9220200" y="2466975"/>
          <a:ext cx="647700" cy="0"/>
        </a:xfrm>
        <a:prstGeom prst="line">
          <a:avLst/>
        </a:prstGeom>
        <a:noFill/>
        <a:ln w="38100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8</xdr:row>
      <xdr:rowOff>66675</xdr:rowOff>
    </xdr:from>
    <xdr:to>
      <xdr:col>10</xdr:col>
      <xdr:colOff>638175</xdr:colOff>
      <xdr:row>12</xdr:row>
      <xdr:rowOff>161925</xdr:rowOff>
    </xdr:to>
    <xdr:sp>
      <xdr:nvSpPr>
        <xdr:cNvPr id="139" name="Line 160"/>
        <xdr:cNvSpPr>
          <a:spLocks/>
        </xdr:cNvSpPr>
      </xdr:nvSpPr>
      <xdr:spPr>
        <a:xfrm flipH="1">
          <a:off x="9220200" y="1628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38100</xdr:rowOff>
    </xdr:from>
    <xdr:to>
      <xdr:col>13</xdr:col>
      <xdr:colOff>419100</xdr:colOff>
      <xdr:row>13</xdr:row>
      <xdr:rowOff>152400</xdr:rowOff>
    </xdr:to>
    <xdr:sp>
      <xdr:nvSpPr>
        <xdr:cNvPr id="140" name="Oval 162"/>
        <xdr:cNvSpPr>
          <a:spLocks/>
        </xdr:cNvSpPr>
      </xdr:nvSpPr>
      <xdr:spPr>
        <a:xfrm>
          <a:off x="9182100" y="38100"/>
          <a:ext cx="2628900" cy="26003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8</xdr:row>
      <xdr:rowOff>28575</xdr:rowOff>
    </xdr:from>
    <xdr:to>
      <xdr:col>11</xdr:col>
      <xdr:colOff>38100</xdr:colOff>
      <xdr:row>12</xdr:row>
      <xdr:rowOff>142875</xdr:rowOff>
    </xdr:to>
    <xdr:sp>
      <xdr:nvSpPr>
        <xdr:cNvPr id="141" name="Line 163"/>
        <xdr:cNvSpPr>
          <a:spLocks/>
        </xdr:cNvSpPr>
      </xdr:nvSpPr>
      <xdr:spPr>
        <a:xfrm flipH="1" flipV="1">
          <a:off x="9220200" y="1590675"/>
          <a:ext cx="619125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161925</xdr:rowOff>
    </xdr:from>
    <xdr:to>
      <xdr:col>12</xdr:col>
      <xdr:colOff>447675</xdr:colOff>
      <xdr:row>12</xdr:row>
      <xdr:rowOff>161925</xdr:rowOff>
    </xdr:to>
    <xdr:sp>
      <xdr:nvSpPr>
        <xdr:cNvPr id="142" name="Line 164"/>
        <xdr:cNvSpPr>
          <a:spLocks/>
        </xdr:cNvSpPr>
      </xdr:nvSpPr>
      <xdr:spPr>
        <a:xfrm>
          <a:off x="9829800" y="2476500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723900</xdr:colOff>
      <xdr:row>1</xdr:row>
      <xdr:rowOff>76200</xdr:rowOff>
    </xdr:from>
    <xdr:to>
      <xdr:col>19</xdr:col>
      <xdr:colOff>123825</xdr:colOff>
      <xdr:row>2</xdr:row>
      <xdr:rowOff>66675</xdr:rowOff>
    </xdr:to>
    <xdr:sp>
      <xdr:nvSpPr>
        <xdr:cNvPr id="143" name="TextBox 165"/>
        <xdr:cNvSpPr txBox="1">
          <a:spLocks noChangeArrowheads="1"/>
        </xdr:cNvSpPr>
      </xdr:nvSpPr>
      <xdr:spPr>
        <a:xfrm>
          <a:off x="16297275" y="257175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
B</a:t>
          </a:r>
        </a:p>
      </xdr:txBody>
    </xdr:sp>
    <xdr:clientData/>
  </xdr:twoCellAnchor>
  <xdr:twoCellAnchor>
    <xdr:from>
      <xdr:col>16</xdr:col>
      <xdr:colOff>885825</xdr:colOff>
      <xdr:row>3</xdr:row>
      <xdr:rowOff>114300</xdr:rowOff>
    </xdr:from>
    <xdr:to>
      <xdr:col>19</xdr:col>
      <xdr:colOff>257175</xdr:colOff>
      <xdr:row>11</xdr:row>
      <xdr:rowOff>47625</xdr:rowOff>
    </xdr:to>
    <xdr:sp>
      <xdr:nvSpPr>
        <xdr:cNvPr id="144" name="Line 166"/>
        <xdr:cNvSpPr>
          <a:spLocks/>
        </xdr:cNvSpPr>
      </xdr:nvSpPr>
      <xdr:spPr>
        <a:xfrm flipH="1">
          <a:off x="14420850" y="733425"/>
          <a:ext cx="2181225" cy="1447800"/>
        </a:xfrm>
        <a:prstGeom prst="line">
          <a:avLst/>
        </a:prstGeom>
        <a:noFill/>
        <a:ln w="412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2</xdr:row>
      <xdr:rowOff>142875</xdr:rowOff>
    </xdr:from>
    <xdr:to>
      <xdr:col>19</xdr:col>
      <xdr:colOff>438150</xdr:colOff>
      <xdr:row>3</xdr:row>
      <xdr:rowOff>133350</xdr:rowOff>
    </xdr:to>
    <xdr:sp>
      <xdr:nvSpPr>
        <xdr:cNvPr id="145" name="TextBox 167"/>
        <xdr:cNvSpPr txBox="1">
          <a:spLocks noChangeArrowheads="1"/>
        </xdr:cNvSpPr>
      </xdr:nvSpPr>
      <xdr:spPr>
        <a:xfrm>
          <a:off x="16611600" y="495300"/>
          <a:ext cx="171450" cy="2571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B</a:t>
          </a:r>
        </a:p>
      </xdr:txBody>
    </xdr:sp>
    <xdr:clientData/>
  </xdr:twoCellAnchor>
  <xdr:twoCellAnchor>
    <xdr:from>
      <xdr:col>16</xdr:col>
      <xdr:colOff>714375</xdr:colOff>
      <xdr:row>11</xdr:row>
      <xdr:rowOff>28575</xdr:rowOff>
    </xdr:from>
    <xdr:to>
      <xdr:col>16</xdr:col>
      <xdr:colOff>885825</xdr:colOff>
      <xdr:row>12</xdr:row>
      <xdr:rowOff>19050</xdr:rowOff>
    </xdr:to>
    <xdr:sp>
      <xdr:nvSpPr>
        <xdr:cNvPr id="146" name="TextBox 168"/>
        <xdr:cNvSpPr txBox="1">
          <a:spLocks noChangeArrowheads="1"/>
        </xdr:cNvSpPr>
      </xdr:nvSpPr>
      <xdr:spPr>
        <a:xfrm>
          <a:off x="14249400" y="21621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B</a:t>
          </a:r>
        </a:p>
      </xdr:txBody>
    </xdr:sp>
    <xdr:clientData/>
  </xdr:twoCellAnchor>
  <xdr:twoCellAnchor>
    <xdr:from>
      <xdr:col>17</xdr:col>
      <xdr:colOff>800100</xdr:colOff>
      <xdr:row>11</xdr:row>
      <xdr:rowOff>76200</xdr:rowOff>
    </xdr:from>
    <xdr:to>
      <xdr:col>18</xdr:col>
      <xdr:colOff>152400</xdr:colOff>
      <xdr:row>12</xdr:row>
      <xdr:rowOff>57150</xdr:rowOff>
    </xdr:to>
    <xdr:sp>
      <xdr:nvSpPr>
        <xdr:cNvPr id="147" name="TextBox 169"/>
        <xdr:cNvSpPr txBox="1">
          <a:spLocks noChangeArrowheads="1"/>
        </xdr:cNvSpPr>
      </xdr:nvSpPr>
      <xdr:spPr>
        <a:xfrm>
          <a:off x="15554325" y="2209800"/>
          <a:ext cx="1714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
B</a:t>
          </a:r>
        </a:p>
      </xdr:txBody>
    </xdr:sp>
    <xdr:clientData/>
  </xdr:twoCellAnchor>
  <xdr:twoCellAnchor>
    <xdr:from>
      <xdr:col>15</xdr:col>
      <xdr:colOff>266700</xdr:colOff>
      <xdr:row>2</xdr:row>
      <xdr:rowOff>104775</xdr:rowOff>
    </xdr:from>
    <xdr:to>
      <xdr:col>16</xdr:col>
      <xdr:colOff>228600</xdr:colOff>
      <xdr:row>2</xdr:row>
      <xdr:rowOff>104775</xdr:rowOff>
    </xdr:to>
    <xdr:sp>
      <xdr:nvSpPr>
        <xdr:cNvPr id="148" name="Line 170"/>
        <xdr:cNvSpPr>
          <a:spLocks/>
        </xdr:cNvSpPr>
      </xdr:nvSpPr>
      <xdr:spPr>
        <a:xfrm flipV="1">
          <a:off x="13115925" y="457200"/>
          <a:ext cx="647700" cy="0"/>
        </a:xfrm>
        <a:prstGeom prst="line">
          <a:avLst/>
        </a:prstGeom>
        <a:noFill/>
        <a:ln w="38100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2</xdr:row>
      <xdr:rowOff>142875</xdr:rowOff>
    </xdr:from>
    <xdr:to>
      <xdr:col>15</xdr:col>
      <xdr:colOff>238125</xdr:colOff>
      <xdr:row>7</xdr:row>
      <xdr:rowOff>85725</xdr:rowOff>
    </xdr:to>
    <xdr:sp>
      <xdr:nvSpPr>
        <xdr:cNvPr id="149" name="Line 171"/>
        <xdr:cNvSpPr>
          <a:spLocks/>
        </xdr:cNvSpPr>
      </xdr:nvSpPr>
      <xdr:spPr>
        <a:xfrm flipH="1">
          <a:off x="13087350" y="4953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38100</xdr:rowOff>
    </xdr:from>
    <xdr:to>
      <xdr:col>19</xdr:col>
      <xdr:colOff>419100</xdr:colOff>
      <xdr:row>13</xdr:row>
      <xdr:rowOff>152400</xdr:rowOff>
    </xdr:to>
    <xdr:sp>
      <xdr:nvSpPr>
        <xdr:cNvPr id="150" name="Oval 172"/>
        <xdr:cNvSpPr>
          <a:spLocks/>
        </xdr:cNvSpPr>
      </xdr:nvSpPr>
      <xdr:spPr>
        <a:xfrm>
          <a:off x="14135100" y="38100"/>
          <a:ext cx="2628900" cy="26003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0</xdr:row>
      <xdr:rowOff>28575</xdr:rowOff>
    </xdr:from>
    <xdr:to>
      <xdr:col>20</xdr:col>
      <xdr:colOff>333375</xdr:colOff>
      <xdr:row>11</xdr:row>
      <xdr:rowOff>28575</xdr:rowOff>
    </xdr:to>
    <xdr:sp>
      <xdr:nvSpPr>
        <xdr:cNvPr id="151" name="Line 173"/>
        <xdr:cNvSpPr>
          <a:spLocks/>
        </xdr:cNvSpPr>
      </xdr:nvSpPr>
      <xdr:spPr>
        <a:xfrm flipH="1" flipV="1">
          <a:off x="15373350" y="28575"/>
          <a:ext cx="2066925" cy="2133600"/>
        </a:xfrm>
        <a:prstGeom prst="line">
          <a:avLst/>
        </a:prstGeom>
        <a:noFill/>
        <a:ln w="222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914400</xdr:colOff>
      <xdr:row>11</xdr:row>
      <xdr:rowOff>38100</xdr:rowOff>
    </xdr:from>
    <xdr:to>
      <xdr:col>20</xdr:col>
      <xdr:colOff>361950</xdr:colOff>
      <xdr:row>11</xdr:row>
      <xdr:rowOff>38100</xdr:rowOff>
    </xdr:to>
    <xdr:sp>
      <xdr:nvSpPr>
        <xdr:cNvPr id="152" name="Line 174"/>
        <xdr:cNvSpPr>
          <a:spLocks/>
        </xdr:cNvSpPr>
      </xdr:nvSpPr>
      <xdr:spPr>
        <a:xfrm flipV="1">
          <a:off x="14449425" y="2171700"/>
          <a:ext cx="30194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638175</xdr:colOff>
      <xdr:row>0</xdr:row>
      <xdr:rowOff>28575</xdr:rowOff>
    </xdr:from>
    <xdr:to>
      <xdr:col>20</xdr:col>
      <xdr:colOff>581025</xdr:colOff>
      <xdr:row>13</xdr:row>
      <xdr:rowOff>47625</xdr:rowOff>
    </xdr:to>
    <xdr:sp>
      <xdr:nvSpPr>
        <xdr:cNvPr id="153" name="Line 180"/>
        <xdr:cNvSpPr>
          <a:spLocks/>
        </xdr:cNvSpPr>
      </xdr:nvSpPr>
      <xdr:spPr>
        <a:xfrm flipH="1" flipV="1">
          <a:off x="16211550" y="28575"/>
          <a:ext cx="1476375" cy="2505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876300</xdr:colOff>
      <xdr:row>0</xdr:row>
      <xdr:rowOff>28575</xdr:rowOff>
    </xdr:from>
    <xdr:to>
      <xdr:col>17</xdr:col>
      <xdr:colOff>638175</xdr:colOff>
      <xdr:row>11</xdr:row>
      <xdr:rowOff>28575</xdr:rowOff>
    </xdr:to>
    <xdr:sp>
      <xdr:nvSpPr>
        <xdr:cNvPr id="154" name="Line 181"/>
        <xdr:cNvSpPr>
          <a:spLocks/>
        </xdr:cNvSpPr>
      </xdr:nvSpPr>
      <xdr:spPr>
        <a:xfrm flipV="1">
          <a:off x="14411325" y="28575"/>
          <a:ext cx="981075" cy="2133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11</xdr:row>
      <xdr:rowOff>66675</xdr:rowOff>
    </xdr:from>
    <xdr:to>
      <xdr:col>19</xdr:col>
      <xdr:colOff>323850</xdr:colOff>
      <xdr:row>12</xdr:row>
      <xdr:rowOff>57150</xdr:rowOff>
    </xdr:to>
    <xdr:sp>
      <xdr:nvSpPr>
        <xdr:cNvPr id="155" name="TextBox 182"/>
        <xdr:cNvSpPr txBox="1">
          <a:spLocks noChangeArrowheads="1"/>
        </xdr:cNvSpPr>
      </xdr:nvSpPr>
      <xdr:spPr>
        <a:xfrm>
          <a:off x="16497300" y="22002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
B</a:t>
          </a:r>
        </a:p>
      </xdr:txBody>
    </xdr:sp>
    <xdr:clientData/>
  </xdr:twoCellAnchor>
  <xdr:twoCellAnchor>
    <xdr:from>
      <xdr:col>18</xdr:col>
      <xdr:colOff>723900</xdr:colOff>
      <xdr:row>2</xdr:row>
      <xdr:rowOff>161925</xdr:rowOff>
    </xdr:from>
    <xdr:to>
      <xdr:col>19</xdr:col>
      <xdr:colOff>171450</xdr:colOff>
      <xdr:row>4</xdr:row>
      <xdr:rowOff>19050</xdr:rowOff>
    </xdr:to>
    <xdr:sp>
      <xdr:nvSpPr>
        <xdr:cNvPr id="156" name="TextBox 183"/>
        <xdr:cNvSpPr txBox="1">
          <a:spLocks noChangeArrowheads="1"/>
        </xdr:cNvSpPr>
      </xdr:nvSpPr>
      <xdr:spPr>
        <a:xfrm>
          <a:off x="16297275" y="514350"/>
          <a:ext cx="21907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B</a:t>
          </a:r>
        </a:p>
      </xdr:txBody>
    </xdr:sp>
    <xdr:clientData/>
  </xdr:twoCellAnchor>
  <xdr:twoCellAnchor>
    <xdr:from>
      <xdr:col>16</xdr:col>
      <xdr:colOff>1190625</xdr:colOff>
      <xdr:row>1</xdr:row>
      <xdr:rowOff>76200</xdr:rowOff>
    </xdr:from>
    <xdr:to>
      <xdr:col>20</xdr:col>
      <xdr:colOff>295275</xdr:colOff>
      <xdr:row>10</xdr:row>
      <xdr:rowOff>209550</xdr:rowOff>
    </xdr:to>
    <xdr:sp>
      <xdr:nvSpPr>
        <xdr:cNvPr id="157" name="Line 184"/>
        <xdr:cNvSpPr>
          <a:spLocks/>
        </xdr:cNvSpPr>
      </xdr:nvSpPr>
      <xdr:spPr>
        <a:xfrm flipH="1" flipV="1">
          <a:off x="14725650" y="257175"/>
          <a:ext cx="2676525" cy="1866900"/>
        </a:xfrm>
        <a:prstGeom prst="line">
          <a:avLst/>
        </a:prstGeom>
        <a:noFill/>
        <a:ln w="222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1</xdr:row>
      <xdr:rowOff>66675</xdr:rowOff>
    </xdr:from>
    <xdr:to>
      <xdr:col>16</xdr:col>
      <xdr:colOff>1200150</xdr:colOff>
      <xdr:row>11</xdr:row>
      <xdr:rowOff>38100</xdr:rowOff>
    </xdr:to>
    <xdr:sp>
      <xdr:nvSpPr>
        <xdr:cNvPr id="158" name="Line 185"/>
        <xdr:cNvSpPr>
          <a:spLocks/>
        </xdr:cNvSpPr>
      </xdr:nvSpPr>
      <xdr:spPr>
        <a:xfrm flipV="1">
          <a:off x="14401800" y="247650"/>
          <a:ext cx="333375" cy="1924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10</xdr:row>
      <xdr:rowOff>114300</xdr:rowOff>
    </xdr:from>
    <xdr:to>
      <xdr:col>20</xdr:col>
      <xdr:colOff>581025</xdr:colOff>
      <xdr:row>11</xdr:row>
      <xdr:rowOff>66675</xdr:rowOff>
    </xdr:to>
    <xdr:sp>
      <xdr:nvSpPr>
        <xdr:cNvPr id="159" name="TextBox 186"/>
        <xdr:cNvSpPr txBox="1">
          <a:spLocks noChangeArrowheads="1"/>
        </xdr:cNvSpPr>
      </xdr:nvSpPr>
      <xdr:spPr>
        <a:xfrm>
          <a:off x="17516475" y="202882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
B</a:t>
          </a:r>
        </a:p>
      </xdr:txBody>
    </xdr:sp>
    <xdr:clientData/>
  </xdr:twoCellAnchor>
  <xdr:twoCellAnchor>
    <xdr:from>
      <xdr:col>19</xdr:col>
      <xdr:colOff>409575</xdr:colOff>
      <xdr:row>2</xdr:row>
      <xdr:rowOff>142875</xdr:rowOff>
    </xdr:from>
    <xdr:to>
      <xdr:col>19</xdr:col>
      <xdr:colOff>581025</xdr:colOff>
      <xdr:row>3</xdr:row>
      <xdr:rowOff>133350</xdr:rowOff>
    </xdr:to>
    <xdr:sp>
      <xdr:nvSpPr>
        <xdr:cNvPr id="160" name="TextBox 189"/>
        <xdr:cNvSpPr txBox="1">
          <a:spLocks noChangeArrowheads="1"/>
        </xdr:cNvSpPr>
      </xdr:nvSpPr>
      <xdr:spPr>
        <a:xfrm>
          <a:off x="16754475" y="495300"/>
          <a:ext cx="171450" cy="2571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
B</a:t>
          </a:r>
        </a:p>
      </xdr:txBody>
    </xdr:sp>
    <xdr:clientData/>
  </xdr:twoCellAnchor>
  <xdr:twoCellAnchor>
    <xdr:from>
      <xdr:col>16</xdr:col>
      <xdr:colOff>914400</xdr:colOff>
      <xdr:row>1</xdr:row>
      <xdr:rowOff>28575</xdr:rowOff>
    </xdr:from>
    <xdr:to>
      <xdr:col>16</xdr:col>
      <xdr:colOff>1085850</xdr:colOff>
      <xdr:row>2</xdr:row>
      <xdr:rowOff>28575</xdr:rowOff>
    </xdr:to>
    <xdr:sp>
      <xdr:nvSpPr>
        <xdr:cNvPr id="161" name="TextBox 191"/>
        <xdr:cNvSpPr txBox="1">
          <a:spLocks noChangeArrowheads="1"/>
        </xdr:cNvSpPr>
      </xdr:nvSpPr>
      <xdr:spPr>
        <a:xfrm>
          <a:off x="14449425" y="209550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E
B</a:t>
          </a:r>
        </a:p>
      </xdr:txBody>
    </xdr:sp>
    <xdr:clientData/>
  </xdr:twoCellAnchor>
  <xdr:twoCellAnchor>
    <xdr:from>
      <xdr:col>17</xdr:col>
      <xdr:colOff>447675</xdr:colOff>
      <xdr:row>0</xdr:row>
      <xdr:rowOff>66675</xdr:rowOff>
    </xdr:from>
    <xdr:to>
      <xdr:col>17</xdr:col>
      <xdr:colOff>619125</xdr:colOff>
      <xdr:row>1</xdr:row>
      <xdr:rowOff>57150</xdr:rowOff>
    </xdr:to>
    <xdr:sp>
      <xdr:nvSpPr>
        <xdr:cNvPr id="162" name="TextBox 192"/>
        <xdr:cNvSpPr txBox="1">
          <a:spLocks noChangeArrowheads="1"/>
        </xdr:cNvSpPr>
      </xdr:nvSpPr>
      <xdr:spPr>
        <a:xfrm>
          <a:off x="15201900" y="66675"/>
          <a:ext cx="171450" cy="1714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
B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17sin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gonometry"/>
      <sheetName val="Trigonometric Function"/>
      <sheetName val="Trigonometry ABC"/>
      <sheetName val="Trigonometry ABC (2)"/>
    </sheetNames>
    <sheetDataSet>
      <sheetData sheetId="0">
        <row r="23">
          <cell r="B23">
            <v>0.5535748055013014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calendar.com/" TargetMode="External" /><Relationship Id="rId2" Type="http://schemas.openxmlformats.org/officeDocument/2006/relationships/hyperlink" Target="http://www.google.com/search?q=sin%2860degrees%29-sin%2830degrees%29&amp;btnG=Google+Search" TargetMode="External" /><Relationship Id="rId3" Type="http://schemas.openxmlformats.org/officeDocument/2006/relationships/hyperlink" Target="http://www.themathpage.com/aTrig/trigonometry-of-right-triangles.ht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calendar.com/" TargetMode="External" /><Relationship Id="rId2" Type="http://schemas.openxmlformats.org/officeDocument/2006/relationships/hyperlink" Target="http://www.google.com/search?q=sin%2860degrees%29-sin%2830degrees%29&amp;btnG=Google+Search" TargetMode="External" /><Relationship Id="rId3" Type="http://schemas.openxmlformats.org/officeDocument/2006/relationships/hyperlink" Target="http://www.themathpage.com/aTrig/trigonometry-of-right-triangles.ht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enmzoka.blogspot.com/" TargetMode="External" /><Relationship Id="rId2" Type="http://schemas.openxmlformats.org/officeDocument/2006/relationships/hyperlink" Target="http://www.bbc.co.uk/schools/gcsebitesize/maths/shapeh/areaofatrianglerev3.shtml" TargetMode="External" /><Relationship Id="rId3" Type="http://schemas.openxmlformats.org/officeDocument/2006/relationships/hyperlink" Target="http://www.bbc.co.uk/schools/gcsebitesize/maths/shapeh/vectorsrev3.shtml" TargetMode="External" /><Relationship Id="rId4" Type="http://schemas.openxmlformats.org/officeDocument/2006/relationships/hyperlink" Target="http://mathworld.wolfram.com/InnerProduct.html" TargetMode="External" /><Relationship Id="rId5" Type="http://schemas.openxmlformats.org/officeDocument/2006/relationships/hyperlink" Target="http://mathworld.wolfram.com/Hexagon.html" TargetMode="External" /><Relationship Id="rId6" Type="http://schemas.openxmlformats.org/officeDocument/2006/relationships/hyperlink" Target="http://www.google.com/search?hl=en&amp;lr=&amp;q=8*%28sin%2830degrees%29%5E2%29*%281-cos%28120degrees%29%29" TargetMode="External" /><Relationship Id="rId7" Type="http://schemas.openxmlformats.org/officeDocument/2006/relationships/hyperlink" Target="http://mathworld.wolfram.com/DotProduct.html" TargetMode="External" /><Relationship Id="rId8" Type="http://schemas.openxmlformats.org/officeDocument/2006/relationships/hyperlink" Target="http://mathworld.wolfram.com/InnerProduct.html" TargetMode="External" /><Relationship Id="rId9" Type="http://schemas.openxmlformats.org/officeDocument/2006/relationships/comments" Target="../comments4.xml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enmzoka.blogspot.com/" TargetMode="External" /><Relationship Id="rId2" Type="http://schemas.openxmlformats.org/officeDocument/2006/relationships/hyperlink" Target="http://www.bbc.co.uk/schools/gcsebitesize/maths/shapeh/areaofatrianglerev3.shtml" TargetMode="External" /><Relationship Id="rId3" Type="http://schemas.openxmlformats.org/officeDocument/2006/relationships/hyperlink" Target="http://www.bbc.co.uk/schools/gcsebitesize/maths/shapeh/vectorsrev3.shtml" TargetMode="External" /><Relationship Id="rId4" Type="http://schemas.openxmlformats.org/officeDocument/2006/relationships/hyperlink" Target="http://mathworld.wolfram.com/InnerProduct.html" TargetMode="External" /><Relationship Id="rId5" Type="http://schemas.openxmlformats.org/officeDocument/2006/relationships/hyperlink" Target="http://mathworld.wolfram.com/Hexagon.html" TargetMode="External" /><Relationship Id="rId6" Type="http://schemas.openxmlformats.org/officeDocument/2006/relationships/hyperlink" Target="http://www.google.com/search?hl=en&amp;lr=&amp;q=8*%28sin%2830degrees%29%5E2%29*%281-cos%28120degrees%29%29" TargetMode="External" /><Relationship Id="rId7" Type="http://schemas.openxmlformats.org/officeDocument/2006/relationships/hyperlink" Target="http://mathworld.wolfram.com/DotProduct.html" TargetMode="External" /><Relationship Id="rId8" Type="http://schemas.openxmlformats.org/officeDocument/2006/relationships/hyperlink" Target="http://mathworld.wolfram.com/InnerProduct.html" TargetMode="External" /><Relationship Id="rId9" Type="http://schemas.openxmlformats.org/officeDocument/2006/relationships/comments" Target="../comments5.xml" /><Relationship Id="rId10" Type="http://schemas.openxmlformats.org/officeDocument/2006/relationships/vmlDrawing" Target="../drawings/vmlDrawing3.vm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3" max="3" width="18.00390625" style="0" customWidth="1"/>
    <col min="4" max="4" width="23.75390625" style="0" customWidth="1"/>
    <col min="6" max="6" width="13.50390625" style="0" customWidth="1"/>
  </cols>
  <sheetData>
    <row r="1" spans="1:256" ht="13.5">
      <c r="A1" s="94">
        <f>PI()*2/360</f>
        <v>0.017453292519943295</v>
      </c>
      <c r="D1" t="s">
        <v>326</v>
      </c>
      <c r="E1" t="s">
        <v>100</v>
      </c>
      <c r="IV1" s="117" t="s">
        <v>10</v>
      </c>
    </row>
    <row r="2" spans="1:6" ht="13.5">
      <c r="A2" t="s">
        <v>327</v>
      </c>
      <c r="B2">
        <f>SIN((2*PI/6)/2)*2</f>
        <v>0.9999999999999999</v>
      </c>
      <c r="C2" s="118" t="s">
        <v>328</v>
      </c>
      <c r="D2" t="s">
        <v>329</v>
      </c>
      <c r="E2">
        <f>(PI*(6-2))/degrees</f>
        <v>720</v>
      </c>
      <c r="F2">
        <f>E3*6</f>
        <v>719.9999999999999</v>
      </c>
    </row>
    <row r="3" spans="3:8" ht="13.5">
      <c r="C3" s="118" t="s">
        <v>328</v>
      </c>
      <c r="D3" t="s">
        <v>7</v>
      </c>
      <c r="E3">
        <f>((PI*(6-2))/6)/degree</f>
        <v>119.99999999999999</v>
      </c>
      <c r="F3" s="119" t="s">
        <v>330</v>
      </c>
      <c r="G3" s="90">
        <v>30</v>
      </c>
      <c r="H3" s="90">
        <v>120</v>
      </c>
    </row>
    <row r="4" spans="3:6" ht="13.5">
      <c r="C4" s="120"/>
      <c r="E4">
        <f>(180-E3)/2</f>
        <v>30.000000000000007</v>
      </c>
      <c r="F4" s="119" t="s">
        <v>347</v>
      </c>
    </row>
    <row r="5" spans="3:9" ht="13.5">
      <c r="C5" s="118" t="s">
        <v>346</v>
      </c>
      <c r="E5">
        <f>180-(E3+E4)</f>
        <v>30</v>
      </c>
      <c r="F5" s="119" t="s">
        <v>331</v>
      </c>
      <c r="I5" s="96">
        <v>30</v>
      </c>
    </row>
    <row r="6" spans="3:8" ht="14.25">
      <c r="C6" s="118" t="s">
        <v>346</v>
      </c>
      <c r="G6" s="70" t="s">
        <v>261</v>
      </c>
      <c r="H6" s="71"/>
    </row>
    <row r="7" spans="6:8" ht="14.25">
      <c r="F7" s="119" t="s">
        <v>345</v>
      </c>
      <c r="G7" s="73"/>
      <c r="H7" s="51"/>
    </row>
    <row r="8" spans="7:9" ht="13.5">
      <c r="G8" s="51"/>
      <c r="I8" s="96"/>
    </row>
    <row r="9" spans="7:8" ht="14.25">
      <c r="G9" s="72" t="s">
        <v>262</v>
      </c>
      <c r="H9" s="73">
        <v>1.618033988749895</v>
      </c>
    </row>
    <row r="11" spans="1:8" ht="13.5">
      <c r="A11" t="s">
        <v>332</v>
      </c>
      <c r="G11" s="20" t="s">
        <v>320</v>
      </c>
      <c r="H11" s="2">
        <v>1</v>
      </c>
    </row>
    <row r="12" spans="1:4" ht="13.5">
      <c r="A12" s="118">
        <v>1</v>
      </c>
      <c r="B12" s="20" t="s">
        <v>333</v>
      </c>
      <c r="C12" s="118" t="s">
        <v>334</v>
      </c>
      <c r="D12" s="118" t="s">
        <v>334</v>
      </c>
    </row>
    <row r="13" spans="1:4" ht="13.5">
      <c r="A13" s="118">
        <v>2</v>
      </c>
      <c r="B13" s="20" t="s">
        <v>335</v>
      </c>
      <c r="C13" s="118" t="s">
        <v>336</v>
      </c>
      <c r="D13" s="118" t="s">
        <v>336</v>
      </c>
    </row>
    <row r="14" spans="1:4" ht="13.5">
      <c r="A14" s="118">
        <v>3</v>
      </c>
      <c r="B14" s="20" t="s">
        <v>337</v>
      </c>
      <c r="C14" s="120"/>
      <c r="D14" s="118" t="s">
        <v>338</v>
      </c>
    </row>
    <row r="15" spans="1:2" ht="13.5">
      <c r="A15" s="118">
        <v>4</v>
      </c>
      <c r="B15" s="20" t="s">
        <v>339</v>
      </c>
    </row>
    <row r="16" spans="1:2" ht="13.5">
      <c r="A16" s="118">
        <v>5</v>
      </c>
      <c r="B16" s="20" t="s">
        <v>340</v>
      </c>
    </row>
    <row r="17" spans="1:2" ht="13.5">
      <c r="A17" s="118">
        <v>6</v>
      </c>
      <c r="B17" s="20" t="s">
        <v>341</v>
      </c>
    </row>
    <row r="18" spans="1:2" ht="13.5">
      <c r="A18" s="118">
        <v>7</v>
      </c>
      <c r="B18" s="20" t="s">
        <v>342</v>
      </c>
    </row>
    <row r="19" spans="1:2" ht="13.5">
      <c r="A19" s="118">
        <v>8</v>
      </c>
      <c r="B19" s="20" t="s">
        <v>343</v>
      </c>
    </row>
    <row r="21" spans="1:2" ht="17.25">
      <c r="A21" s="20" t="s">
        <v>344</v>
      </c>
      <c r="B21" s="121" t="s">
        <v>299</v>
      </c>
    </row>
  </sheetData>
  <conditionalFormatting sqref="A1">
    <cfRule type="expression" priority="1" dxfId="0" stopIfTrue="1">
      <formula>CELL($IV$1,A1)="l"</formula>
    </cfRule>
    <cfRule type="expression" priority="2" dxfId="1" stopIfTrue="1">
      <formula>CELL($IV$1,A1)="v"</formula>
    </cfRule>
    <cfRule type="expression" priority="3" dxfId="2" stopIfTrue="1">
      <formula>CELL($IV$1,A1)="b"</formula>
    </cfRule>
  </conditionalFormatting>
  <hyperlinks>
    <hyperlink ref="A14" location="Procedure!F5" display="Procedure!F5"/>
    <hyperlink ref="A15" location="Procedure!F7" display="Procedure!F7"/>
    <hyperlink ref="A16" location="Procedure!C2" display="Procedure!C2"/>
    <hyperlink ref="A17:A19" location="Procedure!C2" display="Procedure!C2"/>
    <hyperlink ref="A17" location="Procedure!C3" display="Procedure!C3"/>
    <hyperlink ref="A18" location="Procedure!C5" display="Procedure!C5"/>
    <hyperlink ref="A19" location="Procedure!C6" display="Procedure!C6"/>
    <hyperlink ref="B21" location="J" display="a"/>
    <hyperlink ref="C13:C14" location="'Trigonometric Function'!IB23" display="Copy E3 to:"/>
    <hyperlink ref="D14" location="T" display="Then copy E5 to:"/>
    <hyperlink ref="D13" location="'Trigonometry ABC'!B" display="Then copy E4 to:"/>
    <hyperlink ref="D12" location="'Trigonometry ABC'!A" display="Then copy E3 to:"/>
    <hyperlink ref="C13" location="B" display="Then copy E4 to:"/>
    <hyperlink ref="C12" location="A" display="Then copy E3 to:"/>
    <hyperlink ref="C6" location="L" display="Select &quot;0.867767&quot;"/>
    <hyperlink ref="C5" location="K" display="Select &quot;0.867767&quot;"/>
    <hyperlink ref="C3" location="'Trigonometric Function'!D45" display="Copy B2 to:"/>
    <hyperlink ref="C2" location="'Trigonometric Function'!D44" display="Copy B2 to:"/>
    <hyperlink ref="A13" location="Procedure!F4" display="Procedure!F4"/>
    <hyperlink ref="A12" location="Procedure!F3" display="Procedure!F3"/>
    <hyperlink ref="F7" location="'Trigonometric Function'!D53" display="Copy E5 to:"/>
    <hyperlink ref="F3" location="'Trigonometric Function'!IB23" display="Copy E3 to:"/>
    <hyperlink ref="F4" location="'Trigonometric Function'!IB24" display="Copy E4 to:"/>
    <hyperlink ref="F5" location="'Trigonometric Function'!IB25" display="Copy E5 to:"/>
  </hyperlink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="75" zoomScaleNormal="75" workbookViewId="0" topLeftCell="A1">
      <pane xSplit="2" ySplit="1" topLeftCell="C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11.125" style="0" customWidth="1"/>
    <col min="3" max="3" width="20.25390625" style="0" bestFit="1" customWidth="1"/>
    <col min="4" max="4" width="9.75390625" style="0" customWidth="1"/>
    <col min="5" max="5" width="9.75390625" style="0" bestFit="1" customWidth="1"/>
    <col min="6" max="6" width="12.875" style="0" customWidth="1"/>
    <col min="7" max="7" width="10.00390625" style="0" bestFit="1" customWidth="1"/>
    <col min="8" max="8" width="10.75390625" style="0" customWidth="1"/>
    <col min="9" max="9" width="9.25390625" style="0" bestFit="1" customWidth="1"/>
    <col min="10" max="11" width="11.625" style="0" customWidth="1"/>
    <col min="12" max="12" width="10.75390625" style="0" customWidth="1"/>
    <col min="14" max="15" width="11.625" style="0" customWidth="1"/>
    <col min="16" max="16" width="10.75390625" style="0" bestFit="1" customWidth="1"/>
  </cols>
  <sheetData>
    <row r="1" spans="1:13" ht="13.5">
      <c r="A1" s="17">
        <f>PI()*2/360</f>
        <v>0.017453292519943295</v>
      </c>
      <c r="B1" s="2"/>
      <c r="C1" s="1" t="s">
        <v>1</v>
      </c>
      <c r="D1" s="1" t="s">
        <v>0</v>
      </c>
      <c r="E1" s="1" t="s">
        <v>2</v>
      </c>
      <c r="F1" s="2"/>
      <c r="G1" s="2"/>
      <c r="I1" s="2"/>
      <c r="J1" s="2"/>
      <c r="K1" s="2"/>
      <c r="L1" s="3">
        <v>38945</v>
      </c>
      <c r="M1" s="16" t="s">
        <v>14</v>
      </c>
    </row>
    <row r="2" spans="1:13" ht="13.5">
      <c r="A2" s="2"/>
      <c r="B2" s="2">
        <v>0</v>
      </c>
      <c r="C2" s="4">
        <f>SIN($A$1*B2)</f>
        <v>0</v>
      </c>
      <c r="D2" s="4">
        <f>COS($A$1*B2)</f>
        <v>1</v>
      </c>
      <c r="E2" s="4">
        <f>TAN($A$1*B2)</f>
        <v>0</v>
      </c>
      <c r="F2" s="2"/>
      <c r="G2" s="2"/>
      <c r="H2" s="2"/>
      <c r="I2" s="2"/>
      <c r="J2" s="9" t="s">
        <v>10</v>
      </c>
      <c r="K2" s="2"/>
      <c r="L2" s="2"/>
      <c r="M2" s="2"/>
    </row>
    <row r="3" spans="1:13" ht="13.5">
      <c r="A3" s="2"/>
      <c r="B3" s="2">
        <v>1</v>
      </c>
      <c r="C3" s="4">
        <f aca="true" t="shared" si="0" ref="C3:C21">SIN($A$1*B3)</f>
        <v>0.01745240643728351</v>
      </c>
      <c r="D3" s="4">
        <f aca="true" t="shared" si="1" ref="D3:D16">COS($A$1*B3)</f>
        <v>0.9998476951563913</v>
      </c>
      <c r="E3" s="4">
        <f aca="true" t="shared" si="2" ref="E3:E15">TAN($A$1*B3)</f>
        <v>0.017455064928217585</v>
      </c>
      <c r="F3" s="2"/>
      <c r="G3" s="2"/>
      <c r="H3" s="2"/>
      <c r="I3" s="2"/>
      <c r="J3" s="2"/>
      <c r="K3" s="2"/>
      <c r="L3" s="2"/>
      <c r="M3" s="2"/>
    </row>
    <row r="4" spans="1:13" ht="13.5">
      <c r="A4" s="2"/>
      <c r="B4" s="2">
        <v>15</v>
      </c>
      <c r="C4" s="4">
        <f t="shared" si="0"/>
        <v>0.25881904510252074</v>
      </c>
      <c r="D4" s="4">
        <f t="shared" si="1"/>
        <v>0.9659258262890683</v>
      </c>
      <c r="E4" s="4">
        <f t="shared" si="2"/>
        <v>0.2679491924311227</v>
      </c>
      <c r="F4" s="2"/>
      <c r="G4" s="2"/>
      <c r="H4" s="2"/>
      <c r="I4" s="2"/>
      <c r="J4" s="2"/>
      <c r="K4" s="2"/>
      <c r="L4" s="2"/>
      <c r="M4" s="2"/>
    </row>
    <row r="5" spans="1:13" ht="13.5">
      <c r="A5" s="2"/>
      <c r="B5" s="2">
        <v>18</v>
      </c>
      <c r="C5" s="4">
        <f t="shared" si="0"/>
        <v>0.3090169943749474</v>
      </c>
      <c r="D5" s="4">
        <f t="shared" si="1"/>
        <v>0.9510565162951535</v>
      </c>
      <c r="E5" s="4">
        <f t="shared" si="2"/>
        <v>0.3249196962329063</v>
      </c>
      <c r="F5" s="2"/>
      <c r="G5" s="2"/>
      <c r="H5" s="2"/>
      <c r="I5" s="2"/>
      <c r="J5" s="2"/>
      <c r="K5" s="2"/>
      <c r="L5" s="2"/>
      <c r="M5" s="2"/>
    </row>
    <row r="6" spans="1:13" ht="13.5">
      <c r="A6" s="2"/>
      <c r="B6" s="18">
        <v>22.5</v>
      </c>
      <c r="C6" s="4">
        <f t="shared" si="0"/>
        <v>0.3826834323650898</v>
      </c>
      <c r="D6" s="4">
        <f t="shared" si="1"/>
        <v>0.9238795325112867</v>
      </c>
      <c r="E6" s="4">
        <f t="shared" si="2"/>
        <v>0.41421356237309503</v>
      </c>
      <c r="F6" s="2"/>
      <c r="G6" s="2"/>
      <c r="H6" s="2"/>
      <c r="I6" s="2"/>
      <c r="J6" s="2"/>
      <c r="K6" s="2"/>
      <c r="L6" s="2"/>
      <c r="M6" s="2"/>
    </row>
    <row r="7" spans="1:13" ht="13.5">
      <c r="A7" s="2"/>
      <c r="B7" s="2">
        <v>30</v>
      </c>
      <c r="C7" s="4">
        <f t="shared" si="0"/>
        <v>0.49999999999999994</v>
      </c>
      <c r="D7" s="4">
        <f t="shared" si="1"/>
        <v>0.8660254037844387</v>
      </c>
      <c r="E7" s="4">
        <f t="shared" si="2"/>
        <v>0.5773502691896257</v>
      </c>
      <c r="F7" s="2"/>
      <c r="G7" s="2"/>
      <c r="H7" s="2"/>
      <c r="I7" s="2"/>
      <c r="J7" s="2"/>
      <c r="K7" s="2"/>
      <c r="L7" s="2"/>
      <c r="M7" s="2"/>
    </row>
    <row r="8" spans="1:13" ht="13.5">
      <c r="A8" s="2"/>
      <c r="B8" s="2">
        <v>36</v>
      </c>
      <c r="C8" s="4">
        <f t="shared" si="0"/>
        <v>0.5877852522924731</v>
      </c>
      <c r="D8" s="4">
        <f t="shared" si="1"/>
        <v>0.8090169943749475</v>
      </c>
      <c r="E8" s="4">
        <f t="shared" si="2"/>
        <v>0.7265425280053609</v>
      </c>
      <c r="F8" s="2"/>
      <c r="G8" s="2"/>
      <c r="H8" s="2"/>
      <c r="I8" s="2"/>
      <c r="J8" s="2"/>
      <c r="K8" s="2"/>
      <c r="L8" s="2"/>
      <c r="M8" s="2"/>
    </row>
    <row r="9" spans="1:13" ht="13.5">
      <c r="A9" s="2"/>
      <c r="B9" s="2">
        <v>45</v>
      </c>
      <c r="C9" s="4">
        <f t="shared" si="0"/>
        <v>0.7071067811865475</v>
      </c>
      <c r="D9" s="4">
        <f t="shared" si="1"/>
        <v>0.7071067811865476</v>
      </c>
      <c r="E9" s="4">
        <f t="shared" si="2"/>
        <v>0.9999999999999999</v>
      </c>
      <c r="F9" s="2"/>
      <c r="G9" s="2"/>
      <c r="H9" s="2"/>
      <c r="I9" s="2"/>
      <c r="J9" s="2"/>
      <c r="K9" s="2"/>
      <c r="L9" s="2"/>
      <c r="M9" s="2"/>
    </row>
    <row r="10" spans="1:13" ht="13.5">
      <c r="A10" s="2"/>
      <c r="B10" s="2">
        <v>54</v>
      </c>
      <c r="C10" s="4">
        <f t="shared" si="0"/>
        <v>0.8090169943749475</v>
      </c>
      <c r="D10" s="4">
        <f t="shared" si="1"/>
        <v>0.5877852522924731</v>
      </c>
      <c r="E10" s="4">
        <f t="shared" si="2"/>
        <v>1.3763819204711734</v>
      </c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>
        <v>60</v>
      </c>
      <c r="C11" s="4">
        <f t="shared" si="0"/>
        <v>0.8660254037844386</v>
      </c>
      <c r="D11" s="4">
        <f t="shared" si="1"/>
        <v>0.5000000000000001</v>
      </c>
      <c r="E11" s="4">
        <f t="shared" si="2"/>
        <v>1.7320508075688767</v>
      </c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18">
        <v>67.5</v>
      </c>
      <c r="C12" s="4">
        <f t="shared" si="0"/>
        <v>0.9238795325112867</v>
      </c>
      <c r="D12" s="4">
        <f>COS($A$1*B12)</f>
        <v>0.38268343236508984</v>
      </c>
      <c r="E12" s="4">
        <f>TAN($A$1*B12)</f>
        <v>2.414213562373095</v>
      </c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>
        <v>72</v>
      </c>
      <c r="C13" s="4">
        <f t="shared" si="0"/>
        <v>0.9510565162951535</v>
      </c>
      <c r="D13" s="4">
        <f t="shared" si="1"/>
        <v>0.30901699437494745</v>
      </c>
      <c r="E13" s="4">
        <f t="shared" si="2"/>
        <v>3.0776835371752527</v>
      </c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>
        <v>75</v>
      </c>
      <c r="C14" s="4">
        <f t="shared" si="0"/>
        <v>0.9659258262890683</v>
      </c>
      <c r="D14" s="4">
        <f t="shared" si="1"/>
        <v>0.25881904510252074</v>
      </c>
      <c r="E14" s="4">
        <f t="shared" si="2"/>
        <v>3.7320508075688776</v>
      </c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>
        <v>89</v>
      </c>
      <c r="C15" s="4">
        <f t="shared" si="0"/>
        <v>0.9998476951563913</v>
      </c>
      <c r="D15" s="4">
        <f t="shared" si="1"/>
        <v>0.0174524064372836</v>
      </c>
      <c r="E15" s="6">
        <f t="shared" si="2"/>
        <v>57.289961630759144</v>
      </c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>
        <v>90</v>
      </c>
      <c r="C16" s="4">
        <f t="shared" si="0"/>
        <v>1</v>
      </c>
      <c r="D16" s="4">
        <f t="shared" si="1"/>
        <v>6.1257422745431E-17</v>
      </c>
      <c r="E16" s="4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4"/>
      <c r="D17" s="4"/>
      <c r="E17" s="4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19">
        <v>11.25</v>
      </c>
      <c r="C18" s="4">
        <f t="shared" si="0"/>
        <v>0.19509032201612825</v>
      </c>
      <c r="D18" s="4">
        <f>COS($A$1*B18)</f>
        <v>0.9807852804032304</v>
      </c>
      <c r="E18" s="4">
        <f>TAN($A$1*B18)</f>
        <v>0.198912367379658</v>
      </c>
      <c r="F18" s="2"/>
      <c r="G18" s="2"/>
      <c r="H18" s="2"/>
      <c r="I18" s="2"/>
      <c r="J18" s="2"/>
      <c r="K18" s="2"/>
      <c r="L18" s="2"/>
      <c r="M18" s="2"/>
    </row>
    <row r="19" spans="1:13" ht="13.5">
      <c r="A19" s="2"/>
      <c r="B19" s="21">
        <f>90-B18</f>
        <v>78.75</v>
      </c>
      <c r="C19" s="4">
        <f t="shared" si="0"/>
        <v>0.9807852804032304</v>
      </c>
      <c r="D19" s="4">
        <f>COS($A$1*B19)</f>
        <v>0.19509032201612833</v>
      </c>
      <c r="E19" s="4">
        <f>TAN($A$1*B19)</f>
        <v>5.027339492125846</v>
      </c>
      <c r="F19" s="2"/>
      <c r="G19" s="2"/>
      <c r="H19" s="2"/>
      <c r="I19" s="2"/>
      <c r="J19" s="2"/>
      <c r="K19" s="2"/>
      <c r="L19" s="2"/>
      <c r="M19" s="2"/>
    </row>
    <row r="20" spans="1:13" ht="13.5">
      <c r="A20" s="2"/>
      <c r="B20" s="23">
        <v>120</v>
      </c>
      <c r="C20" s="4">
        <f t="shared" si="0"/>
        <v>0.8660254037844387</v>
      </c>
      <c r="D20" s="4">
        <f>COS($A$1*B20)</f>
        <v>-0.4999999999999998</v>
      </c>
      <c r="E20" s="4">
        <f>TAN($A$1*B20)</f>
        <v>-1.7320508075688783</v>
      </c>
      <c r="F20" s="2"/>
      <c r="G20" s="2"/>
      <c r="H20" s="2"/>
      <c r="I20" s="2"/>
      <c r="J20" s="2"/>
      <c r="K20" s="2"/>
      <c r="L20" s="2"/>
      <c r="M20" s="2"/>
    </row>
    <row r="21" spans="1:13" ht="13.5">
      <c r="A21" s="2"/>
      <c r="B21" s="24">
        <v>30</v>
      </c>
      <c r="C21" s="4">
        <f t="shared" si="0"/>
        <v>0.49999999999999994</v>
      </c>
      <c r="D21" s="4">
        <f>COS($A$1*B21)</f>
        <v>0.8660254037844387</v>
      </c>
      <c r="E21" s="4">
        <f>TAN($A$1*B21)</f>
        <v>0.5773502691896257</v>
      </c>
      <c r="F21" s="2"/>
      <c r="G21" s="2"/>
      <c r="H21" s="2"/>
      <c r="I21" s="2"/>
      <c r="J21" s="2"/>
      <c r="K21" s="2"/>
      <c r="L21" s="2"/>
      <c r="M21" s="2"/>
    </row>
    <row r="22" spans="1:13" ht="13.5">
      <c r="A22" s="2"/>
      <c r="B22" s="17">
        <v>120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>
      <c r="A23" s="2"/>
      <c r="B23" s="17">
        <v>30</v>
      </c>
      <c r="C23" s="14" t="s">
        <v>16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6" ht="13.5">
      <c r="A24" s="1" t="s">
        <v>7</v>
      </c>
      <c r="B24" s="10">
        <v>120</v>
      </c>
      <c r="C24" s="15" t="s">
        <v>3</v>
      </c>
      <c r="D24" s="4">
        <f>SIN(A)</f>
        <v>0.5806111842123143</v>
      </c>
      <c r="E24" s="7"/>
      <c r="F24" s="15" t="s">
        <v>5</v>
      </c>
      <c r="G24" s="4">
        <f>COS(A)</f>
        <v>0.8141809705265618</v>
      </c>
      <c r="H24" s="8"/>
      <c r="I24" s="2"/>
      <c r="J24" s="15" t="s">
        <v>12</v>
      </c>
      <c r="K24" s="4">
        <f>TAN(A)</f>
        <v>0.7131230097859091</v>
      </c>
      <c r="M24" s="2"/>
      <c r="N24" s="134" t="s">
        <v>91</v>
      </c>
      <c r="O24" s="134"/>
      <c r="P24" s="4">
        <f>SIN(A)/COS(A)</f>
        <v>0.713123009785909</v>
      </c>
    </row>
    <row r="25" spans="1:16" ht="13.5">
      <c r="A25" s="1" t="s">
        <v>8</v>
      </c>
      <c r="B25" s="10">
        <v>30</v>
      </c>
      <c r="C25" s="15" t="s">
        <v>4</v>
      </c>
      <c r="D25" s="4">
        <f>SIN(B)</f>
        <v>-0.9880316240928618</v>
      </c>
      <c r="E25" s="2"/>
      <c r="F25" s="15" t="s">
        <v>6</v>
      </c>
      <c r="G25" s="4">
        <f>COS(B)</f>
        <v>0.15425144988758405</v>
      </c>
      <c r="H25" s="2"/>
      <c r="I25" s="2"/>
      <c r="J25" s="15" t="s">
        <v>13</v>
      </c>
      <c r="K25" s="4">
        <f>TAN(B)</f>
        <v>-6.405331196646276</v>
      </c>
      <c r="M25" s="2"/>
      <c r="N25" s="135" t="s">
        <v>92</v>
      </c>
      <c r="O25" s="134"/>
      <c r="P25" s="4">
        <f>SIN(B)/COS(B)</f>
        <v>-6.4053311966462765</v>
      </c>
    </row>
    <row r="26" spans="1:13" ht="13.5">
      <c r="A26" s="1"/>
      <c r="B26" s="1"/>
      <c r="C26" s="7"/>
      <c r="D26" s="4"/>
      <c r="E26" s="2"/>
      <c r="F26" s="7"/>
      <c r="G26" s="4"/>
      <c r="H26" s="2"/>
      <c r="I26" s="2"/>
      <c r="J26" s="2"/>
      <c r="K26" s="2"/>
      <c r="L26" s="2"/>
      <c r="M26" s="2"/>
    </row>
    <row r="27" spans="1:13" ht="13.5">
      <c r="A27" s="1"/>
      <c r="B27" s="1"/>
      <c r="C27" s="7"/>
      <c r="D27" s="4"/>
      <c r="E27" s="1" t="s">
        <v>9</v>
      </c>
      <c r="F27" s="7"/>
      <c r="G27" s="4"/>
      <c r="H27" s="2"/>
      <c r="I27" s="1" t="s">
        <v>9</v>
      </c>
      <c r="J27" s="2"/>
      <c r="K27" s="2"/>
      <c r="L27" s="2"/>
      <c r="M27" s="1" t="s">
        <v>9</v>
      </c>
    </row>
    <row r="28" spans="1:13" ht="13.5">
      <c r="A28" s="1"/>
      <c r="B28" s="134" t="s">
        <v>17</v>
      </c>
      <c r="C28" s="134"/>
      <c r="D28" s="4">
        <f>SIN(A)*COS(B)+COS(A)*SIN(B)</f>
        <v>-0.7148764296291646</v>
      </c>
      <c r="E28" s="1" t="str">
        <f>CONCATENATE("(",B24+B25,")")</f>
        <v>(150)</v>
      </c>
      <c r="F28" s="134" t="s">
        <v>19</v>
      </c>
      <c r="G28" s="134"/>
      <c r="H28" s="4">
        <f>COS(A)*COS(B)-SIN(A)*SIN(B)</f>
        <v>0.6992508064783752</v>
      </c>
      <c r="I28" s="1" t="str">
        <f>CONCATENATE("(",B24+B25,")")</f>
        <v>(150)</v>
      </c>
      <c r="J28" s="134" t="s">
        <v>21</v>
      </c>
      <c r="K28" s="134"/>
      <c r="L28" s="4">
        <f>IF(B24+B25=90,"",(TAN(A)+TAN(B))/(1-TAN(A)*TAN(B)))</f>
        <v>-1.0223462354365873</v>
      </c>
      <c r="M28" s="1" t="str">
        <f>CONCATENATE("(",B24+B25,")")</f>
        <v>(150)</v>
      </c>
    </row>
    <row r="29" spans="1:13" ht="13.5">
      <c r="A29" s="1"/>
      <c r="B29" s="134" t="s">
        <v>18</v>
      </c>
      <c r="C29" s="134"/>
      <c r="D29" s="4">
        <f>SIN(A)*COS(B)-COS(A)*SIN(B)</f>
        <v>0.893996663600558</v>
      </c>
      <c r="E29" s="1" t="str">
        <f>CONCATENATE("(",B24-B25,")")</f>
        <v>(90)</v>
      </c>
      <c r="F29" s="134" t="s">
        <v>20</v>
      </c>
      <c r="G29" s="134"/>
      <c r="H29" s="4">
        <f>COS(A)*COS(B)+SIN(A)*SIN(B)</f>
        <v>-0.4480736161291702</v>
      </c>
      <c r="I29" s="1" t="str">
        <f>CONCATENATE("(",B24-B25,")")</f>
        <v>(90)</v>
      </c>
      <c r="J29" s="134" t="s">
        <v>22</v>
      </c>
      <c r="K29" s="134"/>
      <c r="L29" s="4">
        <f>(TAN(A)-TAN(B))/(1+TAN(A)*TAN(B))</f>
        <v>-1.9952004122082418</v>
      </c>
      <c r="M29" s="1" t="str">
        <f>CONCATENATE("(",B24-B25,")")</f>
        <v>(90)</v>
      </c>
    </row>
    <row r="30" spans="1:13" ht="13.5">
      <c r="A30" s="1"/>
      <c r="B30" s="11" t="s">
        <v>15</v>
      </c>
      <c r="C30" s="11"/>
      <c r="D30" s="12"/>
      <c r="E30" s="13"/>
      <c r="F30" s="7"/>
      <c r="G30" s="4"/>
      <c r="H30" s="2"/>
      <c r="I30" s="2"/>
      <c r="J30" s="2"/>
      <c r="K30" s="2"/>
      <c r="L30" s="2"/>
      <c r="M30" s="2"/>
    </row>
    <row r="31" spans="1:16" ht="13.5">
      <c r="A31" s="2"/>
      <c r="B31" s="134" t="s">
        <v>23</v>
      </c>
      <c r="C31" s="134"/>
      <c r="D31" s="4">
        <f>2*SIN((A+B)/2)*COS((A-B)/2)</f>
        <v>-0.40742043988054755</v>
      </c>
      <c r="E31" s="2"/>
      <c r="F31" s="134" t="s">
        <v>27</v>
      </c>
      <c r="G31" s="134"/>
      <c r="H31" s="4">
        <f>1/2*(SIN(A+B)+SIN(A-B))</f>
        <v>0.0895601169856966</v>
      </c>
      <c r="I31" s="5">
        <f>D24*G25</f>
        <v>0.08956011698569663</v>
      </c>
      <c r="J31" s="134" t="s">
        <v>38</v>
      </c>
      <c r="K31" s="134"/>
      <c r="L31" s="4">
        <f>SIN(A)/SIN(B)</f>
        <v>-0.5876443324831722</v>
      </c>
      <c r="M31" s="2"/>
      <c r="N31" s="134" t="s">
        <v>89</v>
      </c>
      <c r="O31" s="134"/>
      <c r="P31" s="4">
        <f>SIN(B)/SIN(A)</f>
        <v>-1.7017095966438782</v>
      </c>
    </row>
    <row r="32" spans="1:16" ht="13.5">
      <c r="A32" s="2"/>
      <c r="B32" s="134" t="s">
        <v>24</v>
      </c>
      <c r="C32" s="134"/>
      <c r="D32" s="4">
        <f>2*COS((A+B)/2)*SIN((A-B)/2)</f>
        <v>1.568642808305176</v>
      </c>
      <c r="E32" s="2"/>
      <c r="F32" s="134" t="s">
        <v>28</v>
      </c>
      <c r="G32" s="134"/>
      <c r="H32" s="4">
        <f>1/2*(SIN(A+B)-SIN(A-B))</f>
        <v>-0.8044365466148613</v>
      </c>
      <c r="I32" s="5">
        <f>G24*D25</f>
        <v>-0.8044365466148613</v>
      </c>
      <c r="J32" s="134" t="s">
        <v>39</v>
      </c>
      <c r="K32" s="134"/>
      <c r="L32" s="4">
        <f>COS(A)/COS(B)</f>
        <v>5.278271102929169</v>
      </c>
      <c r="M32" s="2"/>
      <c r="N32" s="134" t="s">
        <v>90</v>
      </c>
      <c r="O32" s="134"/>
      <c r="P32" s="4">
        <f>COS(B)/COS(A)</f>
        <v>0.18945597535622058</v>
      </c>
    </row>
    <row r="33" spans="1:16" ht="13.5">
      <c r="A33" s="2"/>
      <c r="B33" s="134" t="s">
        <v>25</v>
      </c>
      <c r="C33" s="134"/>
      <c r="D33" s="4">
        <f>2*COS((A+B)/2)*COS((A-B)/2)</f>
        <v>0.9684324204141459</v>
      </c>
      <c r="E33" s="2"/>
      <c r="F33" s="134" t="s">
        <v>29</v>
      </c>
      <c r="G33" s="134"/>
      <c r="H33" s="4">
        <f>1/2*(COS(A+B)+COS(A-B))</f>
        <v>0.1255885951746025</v>
      </c>
      <c r="I33" s="5">
        <f>G25*G24</f>
        <v>0.1255885951746025</v>
      </c>
      <c r="J33" s="135" t="s">
        <v>40</v>
      </c>
      <c r="K33" s="134"/>
      <c r="L33" s="4">
        <f>TAN(A)/TAN(B)</f>
        <v>-0.11133273017315458</v>
      </c>
      <c r="M33" s="2"/>
      <c r="N33" s="135" t="s">
        <v>87</v>
      </c>
      <c r="O33" s="134"/>
      <c r="P33" s="4">
        <f>TAN(B)/TAN(A)</f>
        <v>-8.982084589542634</v>
      </c>
    </row>
    <row r="34" spans="1:13" ht="13.5">
      <c r="A34" s="2"/>
      <c r="B34" s="134" t="s">
        <v>26</v>
      </c>
      <c r="C34" s="134"/>
      <c r="D34" s="4">
        <f>-2*SIN((A+B)/2)*SIN((A-B)/2)</f>
        <v>0.6599295206389777</v>
      </c>
      <c r="E34" s="2"/>
      <c r="F34" s="134" t="s">
        <v>30</v>
      </c>
      <c r="G34" s="134"/>
      <c r="H34" s="4">
        <f>-1/2*(COS(A+B)-COS(A-B))</f>
        <v>-0.5736622113037726</v>
      </c>
      <c r="I34" s="5">
        <f>D24*D25</f>
        <v>-0.5736622113037727</v>
      </c>
      <c r="M34" s="2"/>
    </row>
    <row r="35" spans="1:13" ht="13.5">
      <c r="A35" s="2"/>
      <c r="B35" s="134" t="s">
        <v>85</v>
      </c>
      <c r="C35" s="134"/>
      <c r="D35" s="4">
        <f>TAN(A)+TAN(B)</f>
        <v>-5.692208186860366</v>
      </c>
      <c r="E35" s="2"/>
      <c r="F35" s="134" t="s">
        <v>86</v>
      </c>
      <c r="G35" s="134"/>
      <c r="H35" s="4">
        <f>TAN(A)*TAN(B)</f>
        <v>-4.5677890616279715</v>
      </c>
      <c r="I35" s="5"/>
      <c r="J35" s="1" t="s">
        <v>88</v>
      </c>
      <c r="K35" s="15"/>
      <c r="L35" s="4">
        <f>TAN(A)/TAN(B)+TAN(B)/TAN(A)</f>
        <v>-9.093417319715789</v>
      </c>
      <c r="M35" s="2"/>
    </row>
    <row r="36" spans="1:13" ht="13.5">
      <c r="A36" s="2"/>
      <c r="B36" s="134" t="s">
        <v>84</v>
      </c>
      <c r="C36" s="134"/>
      <c r="D36" s="4">
        <f>TAN(A)-TAN(B)</f>
        <v>7.118454206432185</v>
      </c>
      <c r="E36" s="2"/>
      <c r="F36" s="15"/>
      <c r="G36" s="15"/>
      <c r="H36" s="4"/>
      <c r="I36" s="5"/>
      <c r="J36" s="1"/>
      <c r="K36" s="15"/>
      <c r="L36" s="4"/>
      <c r="M36" s="2"/>
    </row>
    <row r="37" spans="1:1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7" ht="13.5">
      <c r="A38" s="2"/>
      <c r="B38" s="2"/>
      <c r="C38" s="15" t="s">
        <v>31</v>
      </c>
      <c r="D38" s="4">
        <f>SQRT((1-COS(A))/2)</f>
        <v>0.3048106211022167</v>
      </c>
      <c r="E38" s="1" t="str">
        <f>CONCATENATE("(",B24/2,")")</f>
        <v>(60)</v>
      </c>
      <c r="F38" s="134" t="s">
        <v>33</v>
      </c>
      <c r="G38" s="134"/>
      <c r="H38" s="4">
        <f>SQRT((1+COS(A))/2)</f>
        <v>0.9524129804151563</v>
      </c>
      <c r="I38" s="1" t="str">
        <f>CONCATENATE("(",B24/2,")")</f>
        <v>(60)</v>
      </c>
      <c r="J38" s="134" t="s">
        <v>36</v>
      </c>
      <c r="K38" s="134"/>
      <c r="L38" s="4">
        <f>SQRT((1-COS(A))/(1+COS(A)))</f>
        <v>0.320040389379563</v>
      </c>
      <c r="M38" s="1" t="str">
        <f>CONCATENATE("(",B24/2,")")</f>
        <v>(60)</v>
      </c>
      <c r="N38" s="134" t="s">
        <v>93</v>
      </c>
      <c r="O38" s="134"/>
      <c r="P38" s="4">
        <f>SIN(A/2)/COS(A/2)</f>
        <v>0.3200403893795629</v>
      </c>
      <c r="Q38" s="1" t="str">
        <f>CONCATENATE("(",B24/2,")")</f>
        <v>(60)</v>
      </c>
    </row>
    <row r="39" spans="1:17" ht="13.5">
      <c r="A39" s="2"/>
      <c r="B39" s="2"/>
      <c r="C39" s="15" t="s">
        <v>32</v>
      </c>
      <c r="D39" s="4">
        <f>2*SIN(A)*COS(A)</f>
        <v>0.9454451549211168</v>
      </c>
      <c r="E39" s="1" t="str">
        <f>CONCATENATE("(",B24*2,")")</f>
        <v>(240)</v>
      </c>
      <c r="F39" s="134" t="s">
        <v>34</v>
      </c>
      <c r="G39" s="134"/>
      <c r="H39" s="4">
        <f>2*POWER(COS(A),2)-1</f>
        <v>0.32578130553514817</v>
      </c>
      <c r="I39" s="1" t="str">
        <f>CONCATENATE("(",B24*2,")")</f>
        <v>(240)</v>
      </c>
      <c r="J39" s="134" t="s">
        <v>37</v>
      </c>
      <c r="K39" s="134"/>
      <c r="L39" s="4">
        <f>IF(2*B24=90,"",2*TAN(A)/(1-POWER(TAN(A),2)))</f>
        <v>2.902085352528352</v>
      </c>
      <c r="M39" s="1" t="str">
        <f>CONCATENATE("(",B24*2,")")</f>
        <v>(240)</v>
      </c>
      <c r="N39" s="134" t="s">
        <v>94</v>
      </c>
      <c r="O39" s="134"/>
      <c r="P39" s="4">
        <f>SIN(2*A)/COS(2*A)</f>
        <v>2.902085352528351</v>
      </c>
      <c r="Q39" s="1" t="str">
        <f>CONCATENATE("(",B24*2,")")</f>
        <v>(240)</v>
      </c>
    </row>
    <row r="40" spans="1:17" ht="13.5">
      <c r="A40" s="2"/>
      <c r="B40" s="2"/>
      <c r="C40" s="15" t="s">
        <v>11</v>
      </c>
      <c r="D40" s="4">
        <f>3*SIN(A)-4*POWER(SIN(A),3)</f>
        <v>0.9589157234143064</v>
      </c>
      <c r="E40" s="1" t="str">
        <f>CONCATENATE("(",B24*3,")")</f>
        <v>(360)</v>
      </c>
      <c r="F40" s="134" t="s">
        <v>35</v>
      </c>
      <c r="G40" s="134"/>
      <c r="H40" s="4">
        <f>4*POWER(COS(A),3)-3*COS(A)</f>
        <v>-0.2836910914865274</v>
      </c>
      <c r="I40" s="1" t="str">
        <f>CONCATENATE("(",B24*3,")")</f>
        <v>(360)</v>
      </c>
      <c r="J40" s="134" t="s">
        <v>79</v>
      </c>
      <c r="K40" s="134"/>
      <c r="L40" s="4">
        <f>IF(3*B24=90,"",TAN(A*3))</f>
        <v>-3.380140413960958</v>
      </c>
      <c r="M40" s="1" t="str">
        <f>CONCATENATE("(",B24*3,")")</f>
        <v>(360)</v>
      </c>
      <c r="N40" s="134" t="s">
        <v>95</v>
      </c>
      <c r="O40" s="134"/>
      <c r="P40" s="4">
        <f>SIN(3*A)/COS(3*A)</f>
        <v>-3.3801404139609583</v>
      </c>
      <c r="Q40" s="1" t="str">
        <f>CONCATENATE("(",B24*3,")")</f>
        <v>(360)</v>
      </c>
    </row>
    <row r="42" spans="3:17" ht="13.5">
      <c r="C42" s="15" t="s">
        <v>45</v>
      </c>
      <c r="D42" s="4">
        <f>SQRT((1-COS(B))/2)</f>
        <v>0.6502878401571169</v>
      </c>
      <c r="E42" s="1" t="str">
        <f>CONCATENATE("(",B25/2,")")</f>
        <v>(15)</v>
      </c>
      <c r="F42" s="134" t="s">
        <v>46</v>
      </c>
      <c r="G42" s="134"/>
      <c r="H42" s="4">
        <f>SQRT((1+COS(B))/2)</f>
        <v>0.7596879128588212</v>
      </c>
      <c r="I42" s="1" t="str">
        <f>CONCATENATE("(",B25/2,")")</f>
        <v>(15)</v>
      </c>
      <c r="J42" s="134" t="s">
        <v>47</v>
      </c>
      <c r="K42" s="134"/>
      <c r="L42" s="4">
        <f>SQRT((1-COS(B))/(1+COS(B)))</f>
        <v>0.8559934009085188</v>
      </c>
      <c r="M42" s="1" t="str">
        <f>CONCATENATE("(",B25/2,")")</f>
        <v>(15)</v>
      </c>
      <c r="N42" s="134" t="s">
        <v>96</v>
      </c>
      <c r="O42" s="134"/>
      <c r="P42" s="4">
        <f>SIN(B/2)/COS(B/2)</f>
        <v>-0.8559934009085187</v>
      </c>
      <c r="Q42" s="1" t="str">
        <f>CONCATENATE("(",B25/2,")")</f>
        <v>(15)</v>
      </c>
    </row>
    <row r="43" spans="3:17" ht="13.5">
      <c r="C43" s="15" t="s">
        <v>48</v>
      </c>
      <c r="D43" s="4">
        <f>2*SIN(B)*COS(B)</f>
        <v>-0.3048106211022167</v>
      </c>
      <c r="E43" s="1" t="str">
        <f>CONCATENATE("(",B25*2,")")</f>
        <v>(60)</v>
      </c>
      <c r="F43" s="134" t="s">
        <v>49</v>
      </c>
      <c r="G43" s="134"/>
      <c r="H43" s="4">
        <f>2*POWER(COS(B),2)-1</f>
        <v>-0.9524129804151563</v>
      </c>
      <c r="I43" s="1" t="str">
        <f>CONCATENATE("(",B25*2,")")</f>
        <v>(60)</v>
      </c>
      <c r="J43" s="134" t="s">
        <v>50</v>
      </c>
      <c r="K43" s="134"/>
      <c r="L43" s="4">
        <f>IF(2*B25=90,"",2*TAN(B)/(1-POWER(TAN(B),2)))</f>
        <v>0.320040389379563</v>
      </c>
      <c r="M43" s="1" t="str">
        <f>CONCATENATE("(",B25*2,")")</f>
        <v>(60)</v>
      </c>
      <c r="N43" s="134" t="s">
        <v>97</v>
      </c>
      <c r="O43" s="134"/>
      <c r="P43" s="4">
        <f>SIN(2*B)/COS(2*B)</f>
        <v>0.3200403893795629</v>
      </c>
      <c r="Q43" s="1" t="str">
        <f>CONCATENATE("(",B25*2,")")</f>
        <v>(60)</v>
      </c>
    </row>
    <row r="44" spans="3:17" ht="13.5">
      <c r="C44" s="15" t="s">
        <v>51</v>
      </c>
      <c r="D44" s="4">
        <f>3*SIN(B)-4*POWER(SIN(B),3)</f>
        <v>0.8939966636005581</v>
      </c>
      <c r="E44" s="1" t="str">
        <f>CONCATENATE("(",B25*3,")")</f>
        <v>(90)</v>
      </c>
      <c r="F44" s="134" t="s">
        <v>52</v>
      </c>
      <c r="G44" s="134"/>
      <c r="H44" s="4">
        <f>4*POWER(COS(B),3)-3*COS(B)</f>
        <v>-0.4480736161291701</v>
      </c>
      <c r="I44" s="1" t="str">
        <f>CONCATENATE("(",B25*3,")")</f>
        <v>(90)</v>
      </c>
      <c r="J44" s="134" t="s">
        <v>80</v>
      </c>
      <c r="K44" s="134"/>
      <c r="L44" s="4">
        <f>IF(3*B25=90,"",TAN(B*3))</f>
      </c>
      <c r="M44" s="1" t="str">
        <f>CONCATENATE("(",B25*3,")")</f>
        <v>(90)</v>
      </c>
      <c r="N44" s="134" t="s">
        <v>98</v>
      </c>
      <c r="O44" s="134"/>
      <c r="P44" s="4">
        <f>SIN(3*B)/COS(3*B)</f>
        <v>-1.995200412208242</v>
      </c>
      <c r="Q44" s="1" t="str">
        <f>CONCATENATE("(",B25*3,")")</f>
        <v>(90)</v>
      </c>
    </row>
    <row r="45" spans="3:13" ht="13.5">
      <c r="C45" s="15"/>
      <c r="D45" s="4"/>
      <c r="E45" s="1"/>
      <c r="F45" s="15"/>
      <c r="G45" s="15"/>
      <c r="H45" s="4"/>
      <c r="I45" s="1"/>
      <c r="J45" s="2"/>
      <c r="K45" s="2"/>
      <c r="L45" s="2"/>
      <c r="M45" s="2"/>
    </row>
    <row r="46" spans="3:17" ht="13.5">
      <c r="C46" s="15" t="s">
        <v>41</v>
      </c>
      <c r="D46" s="4">
        <f>(1-COS(A))/2</f>
        <v>0.0929095147367191</v>
      </c>
      <c r="E46" s="1" t="str">
        <f>CONCATENATE("(",B24/2,")")</f>
        <v>(60)</v>
      </c>
      <c r="F46" s="134" t="s">
        <v>42</v>
      </c>
      <c r="G46" s="134"/>
      <c r="H46" s="4">
        <f>(1+COS(A))/2</f>
        <v>0.9070904852632808</v>
      </c>
      <c r="I46" s="1" t="str">
        <f>CONCATENATE("(",B24/2,")")</f>
        <v>(60)</v>
      </c>
      <c r="J46" s="134" t="s">
        <v>75</v>
      </c>
      <c r="K46" s="134"/>
      <c r="L46" s="4">
        <f>(TAN(A/2))^2</f>
        <v>0.10242585083422229</v>
      </c>
      <c r="M46" s="1" t="str">
        <f>CONCATENATE("(",B24/2,")")</f>
        <v>(60)</v>
      </c>
      <c r="N46" s="135" t="s">
        <v>57</v>
      </c>
      <c r="O46" s="134"/>
      <c r="P46" s="4">
        <f>(SIN(A/2))^2+(COS(A/2))^2</f>
        <v>1</v>
      </c>
      <c r="Q46" s="1" t="str">
        <f>CONCATENATE("(",B24/2,")")</f>
        <v>(60)</v>
      </c>
    </row>
    <row r="47" spans="3:17" ht="13.5">
      <c r="C47" s="15" t="s">
        <v>43</v>
      </c>
      <c r="D47" s="4">
        <f>1-(COS(A))^2</f>
        <v>0.3371093472324259</v>
      </c>
      <c r="E47" s="1" t="str">
        <f>CONCATENATE("(",B24,")")</f>
        <v>(120)</v>
      </c>
      <c r="F47" s="134" t="s">
        <v>44</v>
      </c>
      <c r="G47" s="134"/>
      <c r="H47" s="4">
        <f>1-(SIN(A))^2</f>
        <v>0.662890652767574</v>
      </c>
      <c r="I47" s="1" t="str">
        <f>CONCATENATE("(",B24,")")</f>
        <v>(120)</v>
      </c>
      <c r="J47" s="134" t="s">
        <v>76</v>
      </c>
      <c r="K47" s="134"/>
      <c r="L47" s="4">
        <f>(TAN(A))^2</f>
        <v>0.5085444270861139</v>
      </c>
      <c r="M47" s="1" t="str">
        <f>CONCATENATE("(",B24,")")</f>
        <v>(120)</v>
      </c>
      <c r="N47" s="135" t="s">
        <v>58</v>
      </c>
      <c r="O47" s="134"/>
      <c r="P47" s="4">
        <f>(SIN(A))^2+(COS(A))^2</f>
        <v>1</v>
      </c>
      <c r="Q47" s="1" t="str">
        <f>CONCATENATE("(",B24,")")</f>
        <v>(120)</v>
      </c>
    </row>
    <row r="48" spans="3:17" ht="13.5">
      <c r="C48" s="15"/>
      <c r="D48" s="4"/>
      <c r="E48" s="1"/>
      <c r="F48" s="15"/>
      <c r="G48" s="15"/>
      <c r="H48" s="4"/>
      <c r="I48" s="1"/>
      <c r="J48" s="15"/>
      <c r="K48" s="15"/>
      <c r="L48" s="4"/>
      <c r="M48" s="1"/>
      <c r="N48" s="1"/>
      <c r="O48" s="15"/>
      <c r="P48" s="4"/>
      <c r="Q48" s="1"/>
    </row>
    <row r="50" spans="3:17" ht="13.5">
      <c r="C50" s="15" t="s">
        <v>53</v>
      </c>
      <c r="D50" s="4">
        <f>(1-COS(B))/2</f>
        <v>0.422874275056208</v>
      </c>
      <c r="E50" s="1" t="str">
        <f>CONCATENATE("(",B25/2,")")</f>
        <v>(15)</v>
      </c>
      <c r="F50" s="134" t="s">
        <v>54</v>
      </c>
      <c r="G50" s="134"/>
      <c r="H50" s="4">
        <f>(1+COS(B))/2</f>
        <v>0.577125724943792</v>
      </c>
      <c r="I50" s="1" t="str">
        <f>CONCATENATE("(",B25/2,")")</f>
        <v>(15)</v>
      </c>
      <c r="J50" s="134" t="s">
        <v>77</v>
      </c>
      <c r="K50" s="134"/>
      <c r="L50" s="4">
        <f>(TAN(B/2))^2</f>
        <v>0.7327247023989321</v>
      </c>
      <c r="M50" s="1" t="str">
        <f>CONCATENATE("(",B25/2,")")</f>
        <v>(15)</v>
      </c>
      <c r="N50" s="135" t="s">
        <v>59</v>
      </c>
      <c r="O50" s="134"/>
      <c r="P50" s="4">
        <f>(SIN(B/2))^2+(COS(B/2))^2</f>
        <v>1</v>
      </c>
      <c r="Q50" s="1" t="str">
        <f>CONCATENATE("(",B25/2,")")</f>
        <v>(15)</v>
      </c>
    </row>
    <row r="51" spans="3:17" ht="13.5">
      <c r="C51" s="15" t="s">
        <v>55</v>
      </c>
      <c r="D51" s="4">
        <f>1-(COS(B))^2</f>
        <v>0.9762064902075781</v>
      </c>
      <c r="E51" s="1" t="str">
        <f>CONCATENATE("(",B25,")")</f>
        <v>(30)</v>
      </c>
      <c r="F51" s="134" t="s">
        <v>56</v>
      </c>
      <c r="G51" s="134"/>
      <c r="H51" s="4">
        <f>1-(SIN(B))^2</f>
        <v>0.023793509792421785</v>
      </c>
      <c r="I51" s="1" t="str">
        <f>CONCATENATE("(",B25,")")</f>
        <v>(30)</v>
      </c>
      <c r="J51" s="134" t="s">
        <v>78</v>
      </c>
      <c r="K51" s="134"/>
      <c r="L51" s="4">
        <f>(TAN(B))^2</f>
        <v>41.02826773873001</v>
      </c>
      <c r="M51" s="1" t="str">
        <f>CONCATENATE("(",B25,")")</f>
        <v>(30)</v>
      </c>
      <c r="N51" s="135" t="s">
        <v>60</v>
      </c>
      <c r="O51" s="134"/>
      <c r="P51" s="4">
        <f>(SIN(B))^2+(COS(B))^2</f>
        <v>1</v>
      </c>
      <c r="Q51" s="1" t="str">
        <f>CONCATENATE("(",B25,")")</f>
        <v>(30)</v>
      </c>
    </row>
    <row r="53" spans="14:16" ht="13.5">
      <c r="N53" s="135" t="s">
        <v>83</v>
      </c>
      <c r="O53" s="134"/>
      <c r="P53" s="4">
        <f>(TAN(A))^2+(TAN(B))^2</f>
        <v>41.53681216581612</v>
      </c>
    </row>
    <row r="54" spans="3:13" ht="13.5">
      <c r="C54" s="15" t="s">
        <v>62</v>
      </c>
      <c r="D54" s="4">
        <f>1/SIN(A)</f>
        <v>1.7223230058109356</v>
      </c>
      <c r="E54" s="1" t="str">
        <f>CONCATENATE("(",B24,")")</f>
        <v>(120)</v>
      </c>
      <c r="F54" s="134" t="s">
        <v>63</v>
      </c>
      <c r="G54" s="134"/>
      <c r="H54" s="4">
        <f>1/COS(A)</f>
        <v>1.2282281657274081</v>
      </c>
      <c r="I54" s="1" t="str">
        <f>CONCATENATE("(",B24,")")</f>
        <v>(120)</v>
      </c>
      <c r="J54" s="134" t="s">
        <v>64</v>
      </c>
      <c r="K54" s="134"/>
      <c r="L54" s="4">
        <f>TAN($A$1*90-A)</f>
        <v>1.4022826164313567</v>
      </c>
      <c r="M54" s="1" t="str">
        <f>CONCATENATE("(",B24,")")</f>
        <v>(120)</v>
      </c>
    </row>
    <row r="55" spans="3:13" ht="13.5">
      <c r="C55" s="15" t="s">
        <v>65</v>
      </c>
      <c r="D55" s="4">
        <f>1/(SIN(A))^2</f>
        <v>2.966396536345616</v>
      </c>
      <c r="E55" s="1" t="str">
        <f>CONCATENATE("(",B24,")")</f>
        <v>(120)</v>
      </c>
      <c r="F55" s="134" t="s">
        <v>66</v>
      </c>
      <c r="G55" s="134"/>
      <c r="H55" s="4">
        <f>1/(COS(A))^2</f>
        <v>1.5085444270861137</v>
      </c>
      <c r="I55" s="1" t="str">
        <f>CONCATENATE("(",B24,")")</f>
        <v>(120)</v>
      </c>
      <c r="J55" s="134" t="s">
        <v>67</v>
      </c>
      <c r="K55" s="134"/>
      <c r="L55" s="4">
        <f>(TAN($A$1*90-A))^2</f>
        <v>1.9663965363455713</v>
      </c>
      <c r="M55" s="1" t="str">
        <f>CONCATENATE("(",B24,")")</f>
        <v>(120)</v>
      </c>
    </row>
    <row r="56" spans="3:13" ht="13.5">
      <c r="C56" s="15"/>
      <c r="D56" s="4"/>
      <c r="E56" s="1"/>
      <c r="F56" s="15"/>
      <c r="G56" s="15"/>
      <c r="H56" s="4"/>
      <c r="I56" s="1"/>
      <c r="J56" s="15"/>
      <c r="K56" s="15"/>
      <c r="L56" s="4"/>
      <c r="M56" s="1"/>
    </row>
    <row r="57" spans="3:16" ht="13.5">
      <c r="C57" s="15" t="s">
        <v>68</v>
      </c>
      <c r="D57" s="4">
        <f>1/SIN(B)</f>
        <v>-1.012113353070178</v>
      </c>
      <c r="E57" s="1" t="str">
        <f>CONCATENATE("(",B25,")")</f>
        <v>(30)</v>
      </c>
      <c r="F57" s="134" t="s">
        <v>69</v>
      </c>
      <c r="G57" s="134"/>
      <c r="H57" s="4">
        <f>1/COS(B)</f>
        <v>6.482921234962678</v>
      </c>
      <c r="I57" s="1" t="str">
        <f>CONCATENATE("(",B25,")")</f>
        <v>(30)</v>
      </c>
      <c r="J57" s="134" t="s">
        <v>70</v>
      </c>
      <c r="K57" s="134"/>
      <c r="L57" s="4">
        <f>TAN($A$1*90-B)</f>
        <v>-0.15611995216165747</v>
      </c>
      <c r="M57" s="1" t="str">
        <f>CONCATENATE("(",B25,")")</f>
        <v>(30)</v>
      </c>
      <c r="N57" s="135" t="s">
        <v>81</v>
      </c>
      <c r="O57" s="134"/>
      <c r="P57" s="4">
        <f>TAN($A$1*90-A)+TAN($A$1*90-B)</f>
        <v>1.2461626642696992</v>
      </c>
    </row>
    <row r="58" spans="3:16" ht="13.5">
      <c r="C58" s="15" t="s">
        <v>73</v>
      </c>
      <c r="D58" s="4">
        <f>1/(4*(SIN(B))^2)</f>
        <v>0.25609335986573967</v>
      </c>
      <c r="E58" s="1" t="str">
        <f>CONCATENATE("(",B25,")")</f>
        <v>(30)</v>
      </c>
      <c r="F58" s="134" t="s">
        <v>71</v>
      </c>
      <c r="G58" s="134"/>
      <c r="H58" s="4">
        <f>1/(COS(B))^2</f>
        <v>42.028267738730015</v>
      </c>
      <c r="I58" s="1" t="str">
        <f>CONCATENATE("(",B25,")")</f>
        <v>(30)</v>
      </c>
      <c r="J58" s="134" t="s">
        <v>72</v>
      </c>
      <c r="K58" s="134"/>
      <c r="L58" s="4">
        <f>(TAN($A$1*90-B))^2</f>
        <v>0.024373439462958217</v>
      </c>
      <c r="M58" s="1" t="str">
        <f>CONCATENATE("(",B25,")")</f>
        <v>(30)</v>
      </c>
      <c r="N58" s="135" t="s">
        <v>82</v>
      </c>
      <c r="O58" s="134"/>
      <c r="P58" s="4">
        <f>(TAN($A$1*90-A))^2+(TAN($A$1*90-B))^2</f>
        <v>1.9907699758085295</v>
      </c>
    </row>
    <row r="59" spans="1:2" ht="13.5">
      <c r="A59" s="20" t="s">
        <v>61</v>
      </c>
      <c r="B59" s="20" t="s">
        <v>74</v>
      </c>
    </row>
  </sheetData>
  <mergeCells count="66">
    <mergeCell ref="N40:O40"/>
    <mergeCell ref="N42:O42"/>
    <mergeCell ref="N43:O43"/>
    <mergeCell ref="N44:O44"/>
    <mergeCell ref="N24:O24"/>
    <mergeCell ref="N25:O25"/>
    <mergeCell ref="N38:O38"/>
    <mergeCell ref="N39:O39"/>
    <mergeCell ref="N57:O57"/>
    <mergeCell ref="N58:O58"/>
    <mergeCell ref="F57:G57"/>
    <mergeCell ref="J57:K57"/>
    <mergeCell ref="F58:G58"/>
    <mergeCell ref="J58:K58"/>
    <mergeCell ref="F54:G54"/>
    <mergeCell ref="J54:K54"/>
    <mergeCell ref="F55:G55"/>
    <mergeCell ref="J55:K55"/>
    <mergeCell ref="F51:G51"/>
    <mergeCell ref="F42:G42"/>
    <mergeCell ref="F47:G47"/>
    <mergeCell ref="F43:G43"/>
    <mergeCell ref="F46:G46"/>
    <mergeCell ref="J28:K28"/>
    <mergeCell ref="J29:K29"/>
    <mergeCell ref="B31:C31"/>
    <mergeCell ref="B32:C32"/>
    <mergeCell ref="F31:G31"/>
    <mergeCell ref="B28:C28"/>
    <mergeCell ref="B29:C29"/>
    <mergeCell ref="F28:G28"/>
    <mergeCell ref="F29:G29"/>
    <mergeCell ref="F34:G34"/>
    <mergeCell ref="N46:O46"/>
    <mergeCell ref="F44:G44"/>
    <mergeCell ref="F50:G50"/>
    <mergeCell ref="F38:G38"/>
    <mergeCell ref="F40:G40"/>
    <mergeCell ref="F39:G39"/>
    <mergeCell ref="J47:K47"/>
    <mergeCell ref="J39:K39"/>
    <mergeCell ref="J40:K40"/>
    <mergeCell ref="B35:C35"/>
    <mergeCell ref="F35:G35"/>
    <mergeCell ref="B36:C36"/>
    <mergeCell ref="J31:K31"/>
    <mergeCell ref="J32:K32"/>
    <mergeCell ref="J33:K33"/>
    <mergeCell ref="F32:G32"/>
    <mergeCell ref="B33:C33"/>
    <mergeCell ref="F33:G33"/>
    <mergeCell ref="B34:C34"/>
    <mergeCell ref="N53:O53"/>
    <mergeCell ref="N47:O47"/>
    <mergeCell ref="N50:O50"/>
    <mergeCell ref="N51:O51"/>
    <mergeCell ref="J50:K50"/>
    <mergeCell ref="J51:K51"/>
    <mergeCell ref="J46:K46"/>
    <mergeCell ref="N31:O31"/>
    <mergeCell ref="N32:O32"/>
    <mergeCell ref="J43:K43"/>
    <mergeCell ref="J38:K38"/>
    <mergeCell ref="J42:K42"/>
    <mergeCell ref="N33:O33"/>
    <mergeCell ref="J44:K44"/>
  </mergeCells>
  <conditionalFormatting sqref="B22:B23 A1">
    <cfRule type="expression" priority="1" dxfId="0" stopIfTrue="1">
      <formula>CELL($J$2,A1)="l"</formula>
    </cfRule>
    <cfRule type="expression" priority="2" dxfId="1" stopIfTrue="1">
      <formula>CELL($J$2,A1)="v"</formula>
    </cfRule>
    <cfRule type="expression" priority="3" dxfId="2" stopIfTrue="1">
      <formula>CELL($J$2,A1)="b"</formula>
    </cfRule>
  </conditionalFormatting>
  <conditionalFormatting sqref="L28">
    <cfRule type="expression" priority="4" dxfId="3" stopIfTrue="1">
      <formula>B24+B25=90</formula>
    </cfRule>
  </conditionalFormatting>
  <conditionalFormatting sqref="L29">
    <cfRule type="expression" priority="5" dxfId="3" stopIfTrue="1">
      <formula>B24-B25=90</formula>
    </cfRule>
  </conditionalFormatting>
  <conditionalFormatting sqref="L38 L42 L54:L58 P53 P57:P58 P38:P40 P42:P44">
    <cfRule type="expression" priority="6" dxfId="3" stopIfTrue="1">
      <formula>B24/2=90</formula>
    </cfRule>
  </conditionalFormatting>
  <conditionalFormatting sqref="L39:L40 L43:L44">
    <cfRule type="expression" priority="7" dxfId="3" stopIfTrue="1">
      <formula>B24*2=90</formula>
    </cfRule>
  </conditionalFormatting>
  <conditionalFormatting sqref="E18:E21">
    <cfRule type="expression" priority="8" dxfId="3" stopIfTrue="1">
      <formula>B18=90</formula>
    </cfRule>
  </conditionalFormatting>
  <conditionalFormatting sqref="P24:P25 K24:K25">
    <cfRule type="expression" priority="9" dxfId="3" stopIfTrue="1">
      <formula>B24=90</formula>
    </cfRule>
  </conditionalFormatting>
  <dataValidations count="4">
    <dataValidation type="list" allowBlank="1" showInputMessage="1" showErrorMessage="1" promptTitle="Select degrees" prompt="Use dropdown list" sqref="B24:B25">
      <formula1>$B$2:$B$21</formula1>
    </dataValidation>
    <dataValidation allowBlank="1" showInputMessage="1" showErrorMessage="1" promptTitle="Degrees" prompt="eg. 11.25" sqref="B18 B20"/>
    <dataValidation allowBlank="1" showInputMessage="1" showErrorMessage="1" promptTitle="90-(Cell B19)Degrees" prompt="eg.78.75 when Cell B19=11.25" sqref="B19"/>
    <dataValidation allowBlank="1" showInputMessage="1" showErrorMessage="1" promptTitle="90-(Cell B20)Degrees" prompt="eg. 15 when Cell B20=75 (degrees)" sqref="B21"/>
  </dataValidations>
  <hyperlinks>
    <hyperlink ref="M1" r:id="rId1" display="Excel Calendar"/>
    <hyperlink ref="B30:C30" r:id="rId2" display="sin(60degrees)-sin(30degrees) - Google Search"/>
    <hyperlink ref="C23" r:id="rId3" display="Trigonometry of right triangles"/>
  </hyperlinks>
  <printOptions/>
  <pageMargins left="0.14" right="0.79" top="0.36" bottom="0.33" header="0.21" footer="0.16"/>
  <pageSetup horizontalDpi="360" verticalDpi="360" orientation="landscape" paperSize="9" scale="7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zoomScale="75" zoomScaleNormal="75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10.625" style="0" customWidth="1"/>
    <col min="3" max="3" width="20.25390625" style="0" bestFit="1" customWidth="1"/>
    <col min="4" max="4" width="11.25390625" style="0" customWidth="1"/>
    <col min="5" max="5" width="9.75390625" style="0" customWidth="1"/>
    <col min="6" max="6" width="12.875" style="0" customWidth="1"/>
    <col min="7" max="7" width="10.75390625" style="0" bestFit="1" customWidth="1"/>
    <col min="8" max="8" width="10.75390625" style="0" customWidth="1"/>
    <col min="9" max="9" width="9.75390625" style="0" bestFit="1" customWidth="1"/>
    <col min="10" max="11" width="11.625" style="0" customWidth="1"/>
    <col min="12" max="12" width="10.75390625" style="0" customWidth="1"/>
    <col min="14" max="15" width="16.625" style="0" customWidth="1"/>
    <col min="16" max="16" width="10.75390625" style="0" bestFit="1" customWidth="1"/>
  </cols>
  <sheetData>
    <row r="1" spans="1:13" ht="13.5">
      <c r="A1" s="17">
        <f>PI()*2/360</f>
        <v>0.017453292519943295</v>
      </c>
      <c r="B1" s="29" t="s">
        <v>235</v>
      </c>
      <c r="C1" s="1" t="s">
        <v>101</v>
      </c>
      <c r="D1" s="1" t="s">
        <v>102</v>
      </c>
      <c r="E1" s="1" t="s">
        <v>103</v>
      </c>
      <c r="F1" s="2"/>
      <c r="G1" s="2"/>
      <c r="I1" s="2"/>
      <c r="J1" s="2"/>
      <c r="K1" s="2"/>
      <c r="L1" s="3">
        <v>38945</v>
      </c>
      <c r="M1" s="16" t="s">
        <v>14</v>
      </c>
    </row>
    <row r="2" spans="1:13" ht="13.5">
      <c r="A2" s="25">
        <f aca="true" t="shared" si="0" ref="A2:A16">TRUNC(D2,6)</f>
        <v>1</v>
      </c>
      <c r="B2" s="2">
        <v>0</v>
      </c>
      <c r="C2" s="4">
        <f aca="true" t="shared" si="1" ref="C2:C16">SIN($A$1*B2)</f>
        <v>0</v>
      </c>
      <c r="D2" s="4">
        <f aca="true" t="shared" si="2" ref="D2:D16">COS($A$1*B2)</f>
        <v>1</v>
      </c>
      <c r="E2" s="4">
        <f aca="true" t="shared" si="3" ref="E2:E15">TAN($A$1*B2)</f>
        <v>0</v>
      </c>
      <c r="F2" s="2"/>
      <c r="G2" s="2"/>
      <c r="H2" s="2"/>
      <c r="I2" s="2"/>
      <c r="J2" s="9" t="s">
        <v>104</v>
      </c>
      <c r="K2" s="2"/>
      <c r="L2" s="2"/>
      <c r="M2" s="2"/>
    </row>
    <row r="3" spans="1:13" ht="13.5">
      <c r="A3" s="25">
        <f t="shared" si="0"/>
        <v>0.999847</v>
      </c>
      <c r="B3" s="2">
        <v>1</v>
      </c>
      <c r="C3" s="4">
        <f t="shared" si="1"/>
        <v>0.01745240643728351</v>
      </c>
      <c r="D3" s="4">
        <f t="shared" si="2"/>
        <v>0.9998476951563913</v>
      </c>
      <c r="E3" s="4">
        <f t="shared" si="3"/>
        <v>0.017455064928217585</v>
      </c>
      <c r="F3" s="2"/>
      <c r="G3" s="2"/>
      <c r="H3" s="2"/>
      <c r="I3" s="2"/>
      <c r="J3" s="2"/>
      <c r="K3" s="2"/>
      <c r="L3" s="2"/>
      <c r="M3" s="2"/>
    </row>
    <row r="4" spans="1:13" ht="13.5">
      <c r="A4" s="25">
        <f t="shared" si="0"/>
        <v>0.965925</v>
      </c>
      <c r="B4" s="2">
        <v>15</v>
      </c>
      <c r="C4" s="4">
        <f t="shared" si="1"/>
        <v>0.25881904510252074</v>
      </c>
      <c r="D4" s="4">
        <f t="shared" si="2"/>
        <v>0.9659258262890683</v>
      </c>
      <c r="E4" s="4">
        <f t="shared" si="3"/>
        <v>0.2679491924311227</v>
      </c>
      <c r="F4" s="2"/>
      <c r="G4" s="2"/>
      <c r="H4" s="2"/>
      <c r="I4" s="2"/>
      <c r="J4" s="2"/>
      <c r="K4" s="2"/>
      <c r="L4" s="2"/>
      <c r="M4" s="2"/>
    </row>
    <row r="5" spans="1:13" ht="13.5">
      <c r="A5" s="25">
        <f t="shared" si="0"/>
        <v>0.951056</v>
      </c>
      <c r="B5" s="2">
        <v>18</v>
      </c>
      <c r="C5" s="4">
        <f t="shared" si="1"/>
        <v>0.3090169943749474</v>
      </c>
      <c r="D5" s="4">
        <f t="shared" si="2"/>
        <v>0.9510565162951535</v>
      </c>
      <c r="E5" s="4">
        <f t="shared" si="3"/>
        <v>0.3249196962329063</v>
      </c>
      <c r="F5" s="2"/>
      <c r="G5" s="2"/>
      <c r="H5" s="2"/>
      <c r="I5" s="2"/>
      <c r="J5" s="2"/>
      <c r="K5" s="2"/>
      <c r="L5" s="2"/>
      <c r="M5" s="2"/>
    </row>
    <row r="6" spans="1:13" ht="13.5">
      <c r="A6" s="25">
        <f t="shared" si="0"/>
        <v>0.923879</v>
      </c>
      <c r="B6" s="18">
        <v>22.5</v>
      </c>
      <c r="C6" s="4">
        <f t="shared" si="1"/>
        <v>0.3826834323650898</v>
      </c>
      <c r="D6" s="4">
        <f t="shared" si="2"/>
        <v>0.9238795325112867</v>
      </c>
      <c r="E6" s="4">
        <f t="shared" si="3"/>
        <v>0.41421356237309503</v>
      </c>
      <c r="F6" s="2"/>
      <c r="G6" s="2"/>
      <c r="H6" s="2"/>
      <c r="I6" s="2"/>
      <c r="J6" s="2"/>
      <c r="K6" s="2"/>
      <c r="L6" s="2"/>
      <c r="M6" s="2"/>
    </row>
    <row r="7" spans="1:13" ht="13.5">
      <c r="A7" s="25">
        <f t="shared" si="0"/>
        <v>0.866025</v>
      </c>
      <c r="B7" s="2">
        <v>30</v>
      </c>
      <c r="C7" s="4">
        <f t="shared" si="1"/>
        <v>0.49999999999999994</v>
      </c>
      <c r="D7" s="4">
        <f t="shared" si="2"/>
        <v>0.8660254037844387</v>
      </c>
      <c r="E7" s="4">
        <f t="shared" si="3"/>
        <v>0.5773502691896257</v>
      </c>
      <c r="F7" s="2"/>
      <c r="G7" s="2"/>
      <c r="H7" s="2"/>
      <c r="I7" s="2"/>
      <c r="J7" s="2"/>
      <c r="K7" s="2"/>
      <c r="L7" s="2"/>
      <c r="M7" s="2"/>
    </row>
    <row r="8" spans="1:13" ht="13.5">
      <c r="A8" s="25">
        <f t="shared" si="0"/>
        <v>0.809016</v>
      </c>
      <c r="B8" s="2">
        <v>36</v>
      </c>
      <c r="C8" s="4">
        <f t="shared" si="1"/>
        <v>0.5877852522924731</v>
      </c>
      <c r="D8" s="4">
        <f t="shared" si="2"/>
        <v>0.8090169943749475</v>
      </c>
      <c r="E8" s="4">
        <f t="shared" si="3"/>
        <v>0.7265425280053609</v>
      </c>
      <c r="F8" s="2"/>
      <c r="G8" s="2"/>
      <c r="H8" s="2"/>
      <c r="I8" s="2"/>
      <c r="J8" s="2"/>
      <c r="K8" s="2"/>
      <c r="L8" s="2"/>
      <c r="M8" s="2"/>
    </row>
    <row r="9" spans="1:13" ht="13.5">
      <c r="A9" s="25">
        <f t="shared" si="0"/>
        <v>0.707106</v>
      </c>
      <c r="B9" s="2">
        <v>45</v>
      </c>
      <c r="C9" s="4">
        <f t="shared" si="1"/>
        <v>0.7071067811865475</v>
      </c>
      <c r="D9" s="4">
        <f t="shared" si="2"/>
        <v>0.7071067811865476</v>
      </c>
      <c r="E9" s="4">
        <f t="shared" si="3"/>
        <v>0.9999999999999999</v>
      </c>
      <c r="F9" s="2"/>
      <c r="G9" s="2"/>
      <c r="H9" s="2"/>
      <c r="I9" s="2"/>
      <c r="J9" s="2"/>
      <c r="K9" s="2"/>
      <c r="L9" s="2"/>
      <c r="M9" s="2"/>
    </row>
    <row r="10" spans="1:13" ht="13.5">
      <c r="A10" s="25">
        <f t="shared" si="0"/>
        <v>0.587785</v>
      </c>
      <c r="B10" s="2">
        <v>54</v>
      </c>
      <c r="C10" s="4">
        <f t="shared" si="1"/>
        <v>0.8090169943749475</v>
      </c>
      <c r="D10" s="4">
        <f t="shared" si="2"/>
        <v>0.5877852522924731</v>
      </c>
      <c r="E10" s="4">
        <f t="shared" si="3"/>
        <v>1.3763819204711734</v>
      </c>
      <c r="F10" s="2"/>
      <c r="G10" s="2"/>
      <c r="H10" s="2"/>
      <c r="I10" s="2"/>
      <c r="J10" s="2"/>
      <c r="K10" s="2"/>
      <c r="L10" s="2"/>
      <c r="M10" s="2"/>
    </row>
    <row r="11" spans="1:13" ht="13.5">
      <c r="A11" s="25">
        <f t="shared" si="0"/>
        <v>0.5</v>
      </c>
      <c r="B11" s="2">
        <v>60</v>
      </c>
      <c r="C11" s="4">
        <f t="shared" si="1"/>
        <v>0.8660254037844386</v>
      </c>
      <c r="D11" s="4">
        <f t="shared" si="2"/>
        <v>0.5000000000000001</v>
      </c>
      <c r="E11" s="4">
        <f t="shared" si="3"/>
        <v>1.7320508075688767</v>
      </c>
      <c r="F11" s="2"/>
      <c r="G11" s="2"/>
      <c r="H11" s="2"/>
      <c r="I11" s="2"/>
      <c r="J11" s="2"/>
      <c r="K11" s="2"/>
      <c r="L11" s="2"/>
      <c r="M11" s="2"/>
    </row>
    <row r="12" spans="1:13" ht="13.5">
      <c r="A12" s="25">
        <f t="shared" si="0"/>
        <v>0.382683</v>
      </c>
      <c r="B12" s="18">
        <v>67.5</v>
      </c>
      <c r="C12" s="4">
        <f t="shared" si="1"/>
        <v>0.9238795325112867</v>
      </c>
      <c r="D12" s="4">
        <f t="shared" si="2"/>
        <v>0.38268343236508984</v>
      </c>
      <c r="E12" s="4">
        <f t="shared" si="3"/>
        <v>2.414213562373095</v>
      </c>
      <c r="F12" s="2"/>
      <c r="G12" s="2"/>
      <c r="H12" s="2"/>
      <c r="I12" s="2"/>
      <c r="J12" s="2"/>
      <c r="K12" s="2"/>
      <c r="L12" s="2"/>
      <c r="M12" s="2"/>
    </row>
    <row r="13" spans="1:13" ht="13.5">
      <c r="A13" s="25">
        <f t="shared" si="0"/>
        <v>0.309016</v>
      </c>
      <c r="B13" s="2">
        <v>72</v>
      </c>
      <c r="C13" s="4">
        <f t="shared" si="1"/>
        <v>0.9510565162951535</v>
      </c>
      <c r="D13" s="4">
        <f t="shared" si="2"/>
        <v>0.30901699437494745</v>
      </c>
      <c r="E13" s="4">
        <f t="shared" si="3"/>
        <v>3.0776835371752527</v>
      </c>
      <c r="F13" s="2"/>
      <c r="G13" s="2"/>
      <c r="H13" s="2"/>
      <c r="I13" s="2"/>
      <c r="J13" s="2"/>
      <c r="K13" s="2"/>
      <c r="L13" s="2"/>
      <c r="M13" s="2"/>
    </row>
    <row r="14" spans="1:13" ht="13.5">
      <c r="A14" s="25">
        <f t="shared" si="0"/>
        <v>0.258819</v>
      </c>
      <c r="B14" s="2">
        <v>75</v>
      </c>
      <c r="C14" s="4">
        <f t="shared" si="1"/>
        <v>0.9659258262890683</v>
      </c>
      <c r="D14" s="4">
        <f t="shared" si="2"/>
        <v>0.25881904510252074</v>
      </c>
      <c r="E14" s="4">
        <f t="shared" si="3"/>
        <v>3.7320508075688776</v>
      </c>
      <c r="F14" s="2"/>
      <c r="G14" s="2"/>
      <c r="H14" s="2"/>
      <c r="I14" s="2"/>
      <c r="J14" s="2"/>
      <c r="K14" s="2"/>
      <c r="L14" s="2"/>
      <c r="M14" s="2"/>
    </row>
    <row r="15" spans="1:13" ht="13.5">
      <c r="A15" s="25">
        <f t="shared" si="0"/>
        <v>0.017452</v>
      </c>
      <c r="B15" s="2">
        <v>89</v>
      </c>
      <c r="C15" s="4">
        <f t="shared" si="1"/>
        <v>0.9998476951563913</v>
      </c>
      <c r="D15" s="4">
        <f t="shared" si="2"/>
        <v>0.0174524064372836</v>
      </c>
      <c r="E15" s="6">
        <f t="shared" si="3"/>
        <v>57.289961630759144</v>
      </c>
      <c r="F15" s="2"/>
      <c r="G15" s="2"/>
      <c r="H15" s="2"/>
      <c r="I15" s="2"/>
      <c r="J15" s="2"/>
      <c r="K15" s="2"/>
      <c r="L15" s="2"/>
      <c r="M15" s="2"/>
    </row>
    <row r="16" spans="1:13" ht="13.5">
      <c r="A16" s="25">
        <f t="shared" si="0"/>
        <v>0</v>
      </c>
      <c r="B16" s="2">
        <v>90</v>
      </c>
      <c r="C16" s="4">
        <f t="shared" si="1"/>
        <v>1</v>
      </c>
      <c r="D16" s="4">
        <f t="shared" si="2"/>
        <v>6.1257422745431E-17</v>
      </c>
      <c r="E16" s="4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4"/>
      <c r="D17" s="4"/>
      <c r="E17" s="4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19">
        <v>60</v>
      </c>
      <c r="C18" s="4">
        <f aca="true" t="shared" si="4" ref="C18:C23">SIN($A$1*B18)</f>
        <v>0.8660254037844386</v>
      </c>
      <c r="D18" s="4">
        <f>COS($A$1*B18)</f>
        <v>0.5000000000000001</v>
      </c>
      <c r="E18" s="4">
        <f>TAN($A$1*B18)</f>
        <v>1.7320508075688767</v>
      </c>
      <c r="F18" s="2"/>
      <c r="G18" s="2"/>
      <c r="H18" s="2"/>
      <c r="I18" s="2"/>
      <c r="J18" s="2"/>
      <c r="K18" s="2"/>
      <c r="L18" s="2"/>
      <c r="M18" s="2"/>
    </row>
    <row r="19" spans="1:13" ht="14.25" thickBot="1">
      <c r="A19" s="2"/>
      <c r="B19" s="19">
        <v>90</v>
      </c>
      <c r="C19" s="4">
        <f t="shared" si="4"/>
        <v>1</v>
      </c>
      <c r="D19" s="4">
        <f>COS($A$1*B19)</f>
        <v>6.1257422745431E-17</v>
      </c>
      <c r="E19" s="4">
        <f>TAN($A$1*B19)</f>
        <v>16324552277619072</v>
      </c>
      <c r="F19" s="2"/>
      <c r="G19" s="2"/>
      <c r="H19" s="66"/>
      <c r="I19" s="2"/>
      <c r="J19" s="2"/>
      <c r="K19" s="2"/>
      <c r="L19" s="2"/>
      <c r="M19" s="2"/>
    </row>
    <row r="20" spans="1:13" ht="14.25" thickTop="1">
      <c r="A20" s="2"/>
      <c r="B20" s="21">
        <f>180-(B18+B19)</f>
        <v>30</v>
      </c>
      <c r="C20" s="4">
        <f t="shared" si="4"/>
        <v>0.49999999999999994</v>
      </c>
      <c r="D20" s="4">
        <f>-1*COS($A$1*B20)</f>
        <v>-0.8660254037844387</v>
      </c>
      <c r="E20" s="4">
        <f>-1*TAN($A$1*B20)</f>
        <v>-0.5773502691896257</v>
      </c>
      <c r="F20" s="36" t="s">
        <v>105</v>
      </c>
      <c r="G20" s="37">
        <v>1</v>
      </c>
      <c r="I20" s="39"/>
      <c r="L20" s="2"/>
      <c r="M20" s="2"/>
    </row>
    <row r="21" spans="1:13" ht="13.5">
      <c r="A21" s="2"/>
      <c r="B21" s="23">
        <v>120</v>
      </c>
      <c r="C21" s="4">
        <f t="shared" si="4"/>
        <v>0.8660254037844387</v>
      </c>
      <c r="D21" s="4">
        <f>COS($A$1*B21)</f>
        <v>-0.4999999999999998</v>
      </c>
      <c r="E21" s="4">
        <f>TAN($A$1*B21)</f>
        <v>-1.7320508075688783</v>
      </c>
      <c r="F21" s="40" t="s">
        <v>106</v>
      </c>
      <c r="G21" s="30">
        <v>1.902113032590307</v>
      </c>
      <c r="H21" s="31">
        <v>1</v>
      </c>
      <c r="I21" s="41">
        <f>SQRT(D^2+F^2)</f>
        <v>1.902113032590307</v>
      </c>
      <c r="L21" s="2"/>
      <c r="M21" s="2"/>
    </row>
    <row r="22" spans="1:13" ht="13.5">
      <c r="A22" s="2"/>
      <c r="B22" s="23">
        <v>30</v>
      </c>
      <c r="C22" s="4">
        <f t="shared" si="4"/>
        <v>0.49999999999999994</v>
      </c>
      <c r="D22" s="4">
        <f>COS($A$1*B22)</f>
        <v>0.8660254037844387</v>
      </c>
      <c r="E22" s="4">
        <f>TAN($A$1*B22)</f>
        <v>0.5773502691896257</v>
      </c>
      <c r="F22" s="40" t="s">
        <v>107</v>
      </c>
      <c r="G22" s="30">
        <f>(SQRT(5)+1)/2</f>
        <v>1.618033988749895</v>
      </c>
      <c r="I22" s="42"/>
      <c r="L22" s="2"/>
      <c r="M22" s="2"/>
    </row>
    <row r="23" spans="1:13" ht="13.5">
      <c r="A23" s="2"/>
      <c r="B23" s="24">
        <f>180-(B21+B22)</f>
        <v>30</v>
      </c>
      <c r="C23" s="4">
        <f t="shared" si="4"/>
        <v>0.49999999999999994</v>
      </c>
      <c r="D23" s="4">
        <f>COS($A$1*B23)</f>
        <v>0.8660254037844387</v>
      </c>
      <c r="E23" s="4">
        <f>TAN($A$1*B23)</f>
        <v>0.5773502691896257</v>
      </c>
      <c r="F23" s="50"/>
      <c r="G23" s="51"/>
      <c r="H23" s="51"/>
      <c r="I23" s="43"/>
      <c r="K23" s="2"/>
      <c r="L23" s="2"/>
      <c r="M23" s="2"/>
    </row>
    <row r="24" spans="1:13" ht="13.5">
      <c r="A24" s="2"/>
      <c r="B24" s="94">
        <v>120</v>
      </c>
      <c r="C24" s="2"/>
      <c r="D24" s="2"/>
      <c r="E24" s="2"/>
      <c r="F24" s="50"/>
      <c r="G24" s="51"/>
      <c r="H24" s="51"/>
      <c r="I24" s="43"/>
      <c r="J24" s="2"/>
      <c r="K24" s="2"/>
      <c r="L24" s="2"/>
      <c r="M24" s="2"/>
    </row>
    <row r="25" spans="1:13" ht="13.5">
      <c r="A25" s="2"/>
      <c r="B25" s="94">
        <v>30</v>
      </c>
      <c r="C25" s="14" t="s">
        <v>16</v>
      </c>
      <c r="D25" s="2"/>
      <c r="E25" s="2"/>
      <c r="F25" s="52" t="s">
        <v>108</v>
      </c>
      <c r="G25" s="53" t="s">
        <v>109</v>
      </c>
      <c r="H25" s="54" t="s">
        <v>110</v>
      </c>
      <c r="I25" s="41">
        <f>SQRT((COS(A)-COS(0))^2+(SIN(A)-SIN(0))^2)</f>
        <v>0.6096212422044334</v>
      </c>
      <c r="J25" s="26" t="s">
        <v>111</v>
      </c>
      <c r="K25" s="26" t="s">
        <v>112</v>
      </c>
      <c r="L25" s="2"/>
      <c r="M25" s="2"/>
    </row>
    <row r="26" spans="1:13" ht="13.5">
      <c r="A26" s="2"/>
      <c r="B26" s="94">
        <v>30</v>
      </c>
      <c r="C26" s="14"/>
      <c r="D26" s="2"/>
      <c r="E26" s="2"/>
      <c r="F26" s="50"/>
      <c r="G26" s="55">
        <f>E</f>
        <v>1.902113032590307</v>
      </c>
      <c r="H26" s="56">
        <f>D</f>
        <v>1</v>
      </c>
      <c r="I26" s="41" t="s">
        <v>113</v>
      </c>
      <c r="J26" s="26">
        <f>COS(A)</f>
        <v>0.8141809705265618</v>
      </c>
      <c r="K26" s="26">
        <f>IF(ISERROR(VLOOKUP(J27,$A$2:$B$16,2,FALSE)),"",VLOOKUP(J27,$A$2:$B$16,2,FALSE))</f>
      </c>
      <c r="L26" s="2"/>
      <c r="M26" s="2"/>
    </row>
    <row r="27" spans="1:13" ht="13.5">
      <c r="A27" s="2"/>
      <c r="B27" s="17">
        <f>180*$A$1</f>
        <v>3.141592653589793</v>
      </c>
      <c r="C27" s="14"/>
      <c r="D27" s="2"/>
      <c r="E27" s="2"/>
      <c r="F27" s="50"/>
      <c r="G27" s="51"/>
      <c r="H27" s="51"/>
      <c r="I27" s="42"/>
      <c r="J27" s="5">
        <f>TRUNC(J26,6)</f>
        <v>0.81418</v>
      </c>
      <c r="K27" s="2"/>
      <c r="L27" s="2"/>
      <c r="M27" s="2"/>
    </row>
    <row r="28" spans="1:13" ht="13.5">
      <c r="A28" s="2"/>
      <c r="C28" s="14"/>
      <c r="D28" s="2"/>
      <c r="E28" s="2"/>
      <c r="F28" s="57"/>
      <c r="G28" s="58" t="s">
        <v>114</v>
      </c>
      <c r="H28" s="55">
        <f>F</f>
        <v>1.618033988749895</v>
      </c>
      <c r="I28" s="42"/>
      <c r="J28" s="2"/>
      <c r="K28" s="2"/>
      <c r="L28" s="2"/>
      <c r="M28" s="2"/>
    </row>
    <row r="29" spans="1:13" ht="13.5">
      <c r="A29" s="2"/>
      <c r="C29" s="14"/>
      <c r="D29" s="2"/>
      <c r="E29" s="2"/>
      <c r="F29" s="44"/>
      <c r="G29" s="34"/>
      <c r="H29" s="33"/>
      <c r="I29" s="42"/>
      <c r="J29" s="2"/>
      <c r="K29" s="2"/>
      <c r="L29" s="2"/>
      <c r="M29" s="2"/>
    </row>
    <row r="30" spans="1:13" ht="13.5">
      <c r="A30" s="2"/>
      <c r="C30" s="14"/>
      <c r="D30" s="2"/>
      <c r="E30" s="2"/>
      <c r="F30" s="44"/>
      <c r="G30" s="32"/>
      <c r="H30" s="35" t="s">
        <v>112</v>
      </c>
      <c r="I30" s="42"/>
      <c r="J30" s="2"/>
      <c r="K30" s="2"/>
      <c r="L30" s="2"/>
      <c r="M30" s="2"/>
    </row>
    <row r="31" spans="1:13" ht="13.5">
      <c r="A31" s="2"/>
      <c r="C31" s="14"/>
      <c r="D31" s="2"/>
      <c r="E31" s="27">
        <f>TRUNC(G31,6)</f>
        <v>0.85065</v>
      </c>
      <c r="F31" s="45" t="s">
        <v>113</v>
      </c>
      <c r="G31" s="48">
        <f>(E^2+F^2-D^2)/(2*E*F)</f>
        <v>0.8506508083520399</v>
      </c>
      <c r="H31" s="59">
        <f>IF(ISERROR(VLOOKUP(E31,$A$2:$B$16,2,FALSE)),"",VLOOKUP(E31,$A$2:$B$16,2,FALSE))</f>
      </c>
      <c r="I31" s="42"/>
      <c r="J31" s="2"/>
      <c r="K31" s="2"/>
      <c r="L31" s="2"/>
      <c r="M31" s="2"/>
    </row>
    <row r="32" spans="1:13" ht="13.5">
      <c r="A32" s="2"/>
      <c r="C32" s="14"/>
      <c r="D32" s="28"/>
      <c r="E32" s="27">
        <f>TRUNC(G32,6)</f>
        <v>0</v>
      </c>
      <c r="F32" s="45" t="s">
        <v>115</v>
      </c>
      <c r="G32" s="48">
        <f>(D^2+F^2-E^2)/(2*D*F)</f>
        <v>1.3723111286221163E-16</v>
      </c>
      <c r="H32" s="59">
        <f>IF(ISERROR(VLOOKUP(E32,$A$2:$B$16,2,FALSE)),"",VLOOKUP(E32,$A$2:$B$16,2,FALSE))</f>
        <v>90</v>
      </c>
      <c r="I32" s="42"/>
      <c r="J32" s="2"/>
      <c r="K32" s="2"/>
      <c r="L32" s="2"/>
      <c r="M32" s="2"/>
    </row>
    <row r="33" spans="1:13" ht="14.25" thickBot="1">
      <c r="A33" s="2"/>
      <c r="C33" s="14"/>
      <c r="D33" s="2"/>
      <c r="E33" s="27">
        <f>TRUNC(G33,6)</f>
        <v>0.525731</v>
      </c>
      <c r="F33" s="46" t="s">
        <v>116</v>
      </c>
      <c r="G33" s="49">
        <f>(D^2+E^2-F^2)/(2*D*E)</f>
        <v>0.5257311121191336</v>
      </c>
      <c r="H33" s="60">
        <f>IF(ISERROR(VLOOKUP(E33,$A$2:$B$16,2,FALSE)),"",VLOOKUP(E33,$A$2:$B$16,2,FALSE))</f>
      </c>
      <c r="I33" s="47"/>
      <c r="J33" s="2"/>
      <c r="K33" s="2"/>
      <c r="L33" s="2"/>
      <c r="M33" s="2"/>
    </row>
    <row r="34" spans="1:13" ht="14.25" thickTop="1">
      <c r="A34" s="2"/>
      <c r="B34" s="20" t="s">
        <v>100</v>
      </c>
      <c r="C34" s="14"/>
      <c r="D34" s="2"/>
      <c r="E34" s="2"/>
      <c r="H34" s="2"/>
      <c r="I34" s="2"/>
      <c r="J34" s="2"/>
      <c r="K34" s="2"/>
      <c r="L34" s="2"/>
      <c r="M34" s="2"/>
    </row>
    <row r="35" spans="1:16" ht="13.5">
      <c r="A35" s="1" t="s">
        <v>117</v>
      </c>
      <c r="B35" s="10">
        <v>120</v>
      </c>
      <c r="C35" s="15" t="s">
        <v>118</v>
      </c>
      <c r="D35" s="4">
        <f>SIN(A)</f>
        <v>0.5806111842123143</v>
      </c>
      <c r="E35" s="7"/>
      <c r="F35" s="15" t="s">
        <v>113</v>
      </c>
      <c r="G35" s="4">
        <f>COS(A)</f>
        <v>0.8141809705265618</v>
      </c>
      <c r="H35" s="8"/>
      <c r="I35" s="2"/>
      <c r="J35" s="15" t="s">
        <v>119</v>
      </c>
      <c r="K35" s="4">
        <f>TAN(A)</f>
        <v>0.7131230097859091</v>
      </c>
      <c r="M35" s="2"/>
      <c r="N35" s="134" t="s">
        <v>120</v>
      </c>
      <c r="O35" s="134"/>
      <c r="P35" s="4">
        <f>SIN(A)/COS(A)</f>
        <v>0.713123009785909</v>
      </c>
    </row>
    <row r="36" spans="1:16" ht="13.5">
      <c r="A36" s="1" t="s">
        <v>121</v>
      </c>
      <c r="B36" s="10">
        <v>30</v>
      </c>
      <c r="C36" s="15" t="s">
        <v>122</v>
      </c>
      <c r="D36" s="4">
        <f>SIN(B)</f>
        <v>-0.9880316240928618</v>
      </c>
      <c r="E36" s="2"/>
      <c r="F36" s="15" t="s">
        <v>115</v>
      </c>
      <c r="G36" s="4">
        <f>COS(B)</f>
        <v>0.15425144988758405</v>
      </c>
      <c r="H36" s="2"/>
      <c r="I36" s="2"/>
      <c r="J36" s="15" t="s">
        <v>123</v>
      </c>
      <c r="K36" s="4">
        <f>TAN(B)</f>
        <v>-6.405331196646276</v>
      </c>
      <c r="M36" s="2"/>
      <c r="N36" s="135" t="s">
        <v>124</v>
      </c>
      <c r="O36" s="134"/>
      <c r="P36" s="4">
        <f>SIN(B)/COS(B)</f>
        <v>-6.4053311966462765</v>
      </c>
    </row>
    <row r="37" spans="1:16" ht="13.5">
      <c r="A37" s="1" t="s">
        <v>125</v>
      </c>
      <c r="B37" s="10">
        <v>30</v>
      </c>
      <c r="C37" s="15" t="s">
        <v>126</v>
      </c>
      <c r="D37" s="4">
        <f>SIN(T)</f>
        <v>-0.9880316240928618</v>
      </c>
      <c r="E37" s="2"/>
      <c r="F37" s="15" t="s">
        <v>127</v>
      </c>
      <c r="G37" s="4">
        <f>COS(T)</f>
        <v>0.15425144988758405</v>
      </c>
      <c r="H37" s="2"/>
      <c r="I37" s="2"/>
      <c r="J37" s="15" t="s">
        <v>128</v>
      </c>
      <c r="K37" s="4">
        <f>TAN(T)</f>
        <v>-6.405331196646276</v>
      </c>
      <c r="M37" s="2"/>
      <c r="N37" s="135" t="s">
        <v>129</v>
      </c>
      <c r="O37" s="134"/>
      <c r="P37" s="4">
        <f>SIN(T)/COS(T)</f>
        <v>-6.4053311966462765</v>
      </c>
    </row>
    <row r="38" spans="1:13" ht="13.5">
      <c r="A38" s="1"/>
      <c r="B38" s="1"/>
      <c r="C38" s="7"/>
      <c r="D38" s="4"/>
      <c r="E38" s="2"/>
      <c r="F38" s="7"/>
      <c r="G38" s="4"/>
      <c r="H38" s="2"/>
      <c r="I38" s="2"/>
      <c r="J38" s="2"/>
      <c r="K38" s="2"/>
      <c r="L38" s="2"/>
      <c r="M38" s="2"/>
    </row>
    <row r="39" spans="1:13" ht="13.5">
      <c r="A39" s="1"/>
      <c r="B39" s="1"/>
      <c r="C39" s="7"/>
      <c r="D39" s="4"/>
      <c r="E39" s="1" t="s">
        <v>130</v>
      </c>
      <c r="F39" s="7"/>
      <c r="G39" s="4"/>
      <c r="H39" s="2"/>
      <c r="I39" s="1" t="s">
        <v>130</v>
      </c>
      <c r="J39" s="2"/>
      <c r="K39" s="2"/>
      <c r="L39" s="2"/>
      <c r="M39" s="1" t="s">
        <v>130</v>
      </c>
    </row>
    <row r="40" spans="1:13" ht="13.5">
      <c r="A40" s="1"/>
      <c r="B40" s="134" t="s">
        <v>131</v>
      </c>
      <c r="C40" s="134"/>
      <c r="D40" s="4">
        <f>SIN(A+B+T)</f>
        <v>-0.8011526357338304</v>
      </c>
      <c r="E40" s="1" t="str">
        <f>CONCATENATE("(",B35+B36+B37,")")</f>
        <v>(180)</v>
      </c>
      <c r="F40" s="134" t="s">
        <v>132</v>
      </c>
      <c r="G40" s="134"/>
      <c r="H40" s="4">
        <f>COS(A+B+T)</f>
        <v>-0.5984600690578581</v>
      </c>
      <c r="I40" s="1" t="str">
        <f>CONCATENATE("(",B35+B36+B37,")")</f>
        <v>(180)</v>
      </c>
      <c r="J40" s="134" t="s">
        <v>133</v>
      </c>
      <c r="K40" s="134"/>
      <c r="L40" s="4">
        <f>IF(B35+B36+B37=90,"",TAN(A+B+T))</f>
        <v>1.3386902103511544</v>
      </c>
      <c r="M40" s="1" t="str">
        <f>CONCATENATE("(",B35+B36+B37,")")</f>
        <v>(180)</v>
      </c>
    </row>
    <row r="41" spans="1:13" ht="13.5">
      <c r="A41" s="1"/>
      <c r="B41" s="134" t="s">
        <v>134</v>
      </c>
      <c r="C41" s="134"/>
      <c r="D41" s="4">
        <f>SIN(PI-A-B)</f>
        <v>-0.7148764296291571</v>
      </c>
      <c r="E41" s="1">
        <f>180-B35-B36</f>
        <v>30</v>
      </c>
      <c r="F41" s="134" t="s">
        <v>135</v>
      </c>
      <c r="G41" s="134"/>
      <c r="H41" s="4">
        <f>COS(PI-A-B)</f>
        <v>-0.6992508064783829</v>
      </c>
      <c r="I41" s="1">
        <f>180-B35-B36</f>
        <v>30</v>
      </c>
      <c r="J41" s="134" t="s">
        <v>136</v>
      </c>
      <c r="K41" s="134"/>
      <c r="L41" s="4">
        <f>TAN(PI-A-B)</f>
        <v>1.0223462354365656</v>
      </c>
      <c r="M41" s="1">
        <f>180-B35-B36</f>
        <v>30</v>
      </c>
    </row>
    <row r="42" spans="1:13" ht="13.5">
      <c r="A42" s="1"/>
      <c r="B42" s="11" t="s">
        <v>15</v>
      </c>
      <c r="C42" s="11"/>
      <c r="D42" s="12"/>
      <c r="E42" s="13"/>
      <c r="F42" s="7"/>
      <c r="G42" s="4"/>
      <c r="H42" s="2"/>
      <c r="I42" s="2"/>
      <c r="J42" s="2"/>
      <c r="K42" s="2"/>
      <c r="L42" s="2"/>
      <c r="M42" s="2"/>
    </row>
    <row r="43" spans="1:16" ht="13.5">
      <c r="A43" s="2"/>
      <c r="B43" s="134" t="s">
        <v>137</v>
      </c>
      <c r="C43" s="134"/>
      <c r="D43" s="4">
        <f>2*SIN((A+B)/2)*COS((A-B)/2)+SIN(T)</f>
        <v>-1.3954520639734094</v>
      </c>
      <c r="E43" s="2"/>
      <c r="F43" s="134" t="s">
        <v>138</v>
      </c>
      <c r="G43" s="134"/>
      <c r="H43" s="4">
        <f>1/2*(SIN(A+B)+SIN(A-B))</f>
        <v>0.0895601169856966</v>
      </c>
      <c r="I43" s="5">
        <f>D35*G36</f>
        <v>0.08956011698569663</v>
      </c>
      <c r="J43" s="134" t="s">
        <v>139</v>
      </c>
      <c r="K43" s="134"/>
      <c r="L43" s="4">
        <f>SIN(A)/SIN(B)</f>
        <v>-0.5876443324831722</v>
      </c>
      <c r="M43" s="2"/>
      <c r="N43" s="134" t="s">
        <v>140</v>
      </c>
      <c r="O43" s="134"/>
      <c r="P43" s="4">
        <f>SIN(B)/SIN(A)</f>
        <v>-1.7017095966438782</v>
      </c>
    </row>
    <row r="44" spans="1:16" ht="13.5">
      <c r="A44" s="2"/>
      <c r="B44" s="134" t="s">
        <v>141</v>
      </c>
      <c r="C44" s="134"/>
      <c r="D44" s="4">
        <f>2*COS((A+B)/2)*SIN((A-B)/2)</f>
        <v>1.568642808305176</v>
      </c>
      <c r="E44" s="2"/>
      <c r="F44" s="134" t="s">
        <v>142</v>
      </c>
      <c r="G44" s="134"/>
      <c r="H44" s="4">
        <f>1/2*(SIN(A+B)-SIN(A-B))</f>
        <v>-0.8044365466148613</v>
      </c>
      <c r="I44" s="5">
        <f>G35*D36</f>
        <v>-0.8044365466148613</v>
      </c>
      <c r="J44" s="134" t="s">
        <v>143</v>
      </c>
      <c r="K44" s="134"/>
      <c r="L44" s="4">
        <f>COS(A)/COS(B)</f>
        <v>5.278271102929169</v>
      </c>
      <c r="M44" s="2"/>
      <c r="N44" s="134" t="s">
        <v>144</v>
      </c>
      <c r="O44" s="134"/>
      <c r="P44" s="4">
        <f>COS(B)/COS(A)</f>
        <v>0.18945597535622058</v>
      </c>
    </row>
    <row r="45" spans="1:16" ht="13.5">
      <c r="A45" s="2"/>
      <c r="B45" s="134" t="s">
        <v>145</v>
      </c>
      <c r="C45" s="134"/>
      <c r="D45" s="4">
        <f>2*COS((A+B)/2)*COS((A-B)/2)+COS(T)</f>
        <v>1.12268387030173</v>
      </c>
      <c r="E45" s="2"/>
      <c r="F45" s="134" t="s">
        <v>146</v>
      </c>
      <c r="G45" s="134"/>
      <c r="H45" s="4">
        <f>1/2*(COS(A+B)+COS(A-B))*COS(T)</f>
        <v>0.019372222895027276</v>
      </c>
      <c r="I45" s="5">
        <f>G36*G35</f>
        <v>0.1255885951746025</v>
      </c>
      <c r="J45" s="135" t="s">
        <v>147</v>
      </c>
      <c r="K45" s="134"/>
      <c r="L45" s="4">
        <f>TAN(A)/TAN(B)</f>
        <v>-0.11133273017315458</v>
      </c>
      <c r="M45" s="2"/>
      <c r="N45" s="135" t="s">
        <v>148</v>
      </c>
      <c r="O45" s="134"/>
      <c r="P45" s="4">
        <f>TAN(B)/TAN(A)</f>
        <v>-8.982084589542634</v>
      </c>
    </row>
    <row r="46" spans="1:13" ht="13.5">
      <c r="A46" s="2"/>
      <c r="B46" s="134" t="s">
        <v>149</v>
      </c>
      <c r="C46" s="134"/>
      <c r="D46" s="4">
        <f>-2*SIN((A+B)/2)*SIN((A-B)/2)</f>
        <v>0.6599295206389777</v>
      </c>
      <c r="E46" s="2"/>
      <c r="F46" s="134" t="s">
        <v>150</v>
      </c>
      <c r="G46" s="134"/>
      <c r="H46" s="4">
        <f>-1/2*(COS(A+B)-COS(A-B))*SIN(T)</f>
        <v>0.5667964063151689</v>
      </c>
      <c r="I46" s="5">
        <f>D35*D36</f>
        <v>-0.5736622113037727</v>
      </c>
      <c r="M46" s="2"/>
    </row>
    <row r="47" spans="1:13" ht="13.5">
      <c r="A47" s="2"/>
      <c r="B47" s="134" t="s">
        <v>151</v>
      </c>
      <c r="C47" s="134"/>
      <c r="D47" s="4">
        <f>TAN(A)+TAN(B)+TAN(T)</f>
        <v>-12.097539383506643</v>
      </c>
      <c r="E47" s="2"/>
      <c r="F47" s="134" t="s">
        <v>152</v>
      </c>
      <c r="G47" s="134"/>
      <c r="H47" s="4">
        <f>TAN(A)*TAN(B)*TAN(T)</f>
        <v>29.258201776145263</v>
      </c>
      <c r="I47" s="5"/>
      <c r="J47" s="1" t="s">
        <v>153</v>
      </c>
      <c r="K47" s="15"/>
      <c r="L47" s="4">
        <f>TAN(A)/TAN(B)+TAN(B)/TAN(A)</f>
        <v>-9.093417319715789</v>
      </c>
      <c r="M47" s="2"/>
    </row>
    <row r="48" spans="1:13" ht="13.5">
      <c r="A48" s="2"/>
      <c r="B48" s="134" t="s">
        <v>154</v>
      </c>
      <c r="C48" s="134"/>
      <c r="D48" s="4">
        <f>TAN(A)-TAN(B)</f>
        <v>7.118454206432185</v>
      </c>
      <c r="E48" s="2"/>
      <c r="F48" s="15"/>
      <c r="G48" s="15"/>
      <c r="H48" s="4"/>
      <c r="I48" s="5"/>
      <c r="J48" s="1"/>
      <c r="K48" s="15"/>
      <c r="L48" s="4"/>
      <c r="M48" s="2"/>
    </row>
    <row r="49" spans="1:1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7" ht="13.5">
      <c r="A50" s="2"/>
      <c r="B50" s="2"/>
      <c r="C50" s="15" t="s">
        <v>155</v>
      </c>
      <c r="D50" s="4">
        <f>SQRT((1-COS(A))/2)</f>
        <v>0.3048106211022167</v>
      </c>
      <c r="E50" s="1" t="str">
        <f>CONCATENATE("(",B35/2,")")</f>
        <v>(60)</v>
      </c>
      <c r="F50" s="134" t="s">
        <v>156</v>
      </c>
      <c r="G50" s="134"/>
      <c r="H50" s="4">
        <f>SQRT((1+COS(A))/2)</f>
        <v>0.9524129804151563</v>
      </c>
      <c r="I50" s="1" t="str">
        <f>CONCATENATE("(",B35/2,")")</f>
        <v>(60)</v>
      </c>
      <c r="J50" s="134" t="s">
        <v>157</v>
      </c>
      <c r="K50" s="134"/>
      <c r="L50" s="4">
        <f>SQRT((1-COS(A))/(1+COS(A)))</f>
        <v>0.320040389379563</v>
      </c>
      <c r="M50" s="1" t="str">
        <f>CONCATENATE("(",B35/2,")")</f>
        <v>(60)</v>
      </c>
      <c r="N50" s="134" t="s">
        <v>158</v>
      </c>
      <c r="O50" s="134"/>
      <c r="P50" s="4">
        <f>SIN(A/2)/COS(A/2)</f>
        <v>0.3200403893795629</v>
      </c>
      <c r="Q50" s="1" t="str">
        <f>CONCATENATE("(",B35/2,")")</f>
        <v>(60)</v>
      </c>
    </row>
    <row r="51" spans="1:17" ht="13.5">
      <c r="A51" s="2"/>
      <c r="B51" s="2"/>
      <c r="C51" s="15" t="s">
        <v>159</v>
      </c>
      <c r="D51" s="4">
        <f>2*SIN(A)*COS(A)</f>
        <v>0.9454451549211168</v>
      </c>
      <c r="E51" s="1" t="str">
        <f>CONCATENATE("(",B35*2,")")</f>
        <v>(240)</v>
      </c>
      <c r="F51" s="134" t="s">
        <v>160</v>
      </c>
      <c r="G51" s="134"/>
      <c r="H51" s="4">
        <f>2*POWER(COS(A),2)-1</f>
        <v>0.32578130553514817</v>
      </c>
      <c r="I51" s="1" t="str">
        <f>CONCATENATE("(",B35*2,")")</f>
        <v>(240)</v>
      </c>
      <c r="J51" s="134" t="s">
        <v>161</v>
      </c>
      <c r="K51" s="134"/>
      <c r="L51" s="4">
        <f>IF(2*B35=90,"",2*TAN(A)/(1-POWER(TAN(A),2)))</f>
        <v>2.902085352528352</v>
      </c>
      <c r="M51" s="1" t="str">
        <f>CONCATENATE("(",B35*2,")")</f>
        <v>(240)</v>
      </c>
      <c r="N51" s="134" t="s">
        <v>162</v>
      </c>
      <c r="O51" s="134"/>
      <c r="P51" s="4">
        <f>SIN(2*A)/COS(2*A)</f>
        <v>2.902085352528351</v>
      </c>
      <c r="Q51" s="1" t="str">
        <f>CONCATENATE("(",B35*2,")")</f>
        <v>(240)</v>
      </c>
    </row>
    <row r="52" spans="1:17" ht="13.5">
      <c r="A52" s="2"/>
      <c r="B52" s="2"/>
      <c r="C52" s="15" t="s">
        <v>11</v>
      </c>
      <c r="D52" s="4">
        <f>3*SIN(A)-4*POWER(SIN(A),3)</f>
        <v>0.9589157234143064</v>
      </c>
      <c r="E52" s="1" t="str">
        <f>CONCATENATE("(",B35*3,")")</f>
        <v>(360)</v>
      </c>
      <c r="F52" s="134" t="s">
        <v>163</v>
      </c>
      <c r="G52" s="134"/>
      <c r="H52" s="4">
        <f>4*POWER(COS(A),3)-3*COS(A)</f>
        <v>-0.2836910914865274</v>
      </c>
      <c r="I52" s="1" t="str">
        <f>CONCATENATE("(",B35*3,")")</f>
        <v>(360)</v>
      </c>
      <c r="J52" s="134" t="s">
        <v>164</v>
      </c>
      <c r="K52" s="134"/>
      <c r="L52" s="4">
        <f>IF(3*B35=90,"",TAN(A*3))</f>
        <v>-3.380140413960958</v>
      </c>
      <c r="M52" s="1" t="str">
        <f>CONCATENATE("(",B35*3,")")</f>
        <v>(360)</v>
      </c>
      <c r="N52" s="134" t="s">
        <v>165</v>
      </c>
      <c r="O52" s="134"/>
      <c r="P52" s="4">
        <f>SIN(3*A)/COS(3*A)</f>
        <v>-3.3801404139609583</v>
      </c>
      <c r="Q52" s="1" t="str">
        <f>CONCATENATE("(",B35*3,")")</f>
        <v>(360)</v>
      </c>
    </row>
    <row r="54" spans="3:17" ht="13.5">
      <c r="C54" s="15" t="s">
        <v>166</v>
      </c>
      <c r="D54" s="4">
        <f>SQRT((1-COS(B))/2)</f>
        <v>0.6502878401571169</v>
      </c>
      <c r="E54" s="1" t="str">
        <f>CONCATENATE("(",B36/2,")")</f>
        <v>(15)</v>
      </c>
      <c r="F54" s="134" t="s">
        <v>167</v>
      </c>
      <c r="G54" s="134"/>
      <c r="H54" s="4">
        <f>SQRT((1+COS(B))/2)</f>
        <v>0.7596879128588212</v>
      </c>
      <c r="I54" s="1" t="str">
        <f>CONCATENATE("(",B36/2,")")</f>
        <v>(15)</v>
      </c>
      <c r="J54" s="134" t="s">
        <v>168</v>
      </c>
      <c r="K54" s="134"/>
      <c r="L54" s="4">
        <f>SQRT((1-COS(B))/(1+COS(B)))</f>
        <v>0.8559934009085188</v>
      </c>
      <c r="M54" s="1" t="str">
        <f>CONCATENATE("(",B36/2,")")</f>
        <v>(15)</v>
      </c>
      <c r="N54" s="134" t="s">
        <v>169</v>
      </c>
      <c r="O54" s="134"/>
      <c r="P54" s="4">
        <f>SIN(B/2)/COS(B/2)</f>
        <v>-0.8559934009085187</v>
      </c>
      <c r="Q54" s="1" t="str">
        <f>CONCATENATE("(",B36/2,")")</f>
        <v>(15)</v>
      </c>
    </row>
    <row r="55" spans="3:17" ht="13.5">
      <c r="C55" s="15" t="s">
        <v>170</v>
      </c>
      <c r="D55" s="4">
        <f>2*SIN(B)*COS(B)</f>
        <v>-0.3048106211022167</v>
      </c>
      <c r="E55" s="1" t="str">
        <f>CONCATENATE("(",B36*2,")")</f>
        <v>(60)</v>
      </c>
      <c r="F55" s="134" t="s">
        <v>171</v>
      </c>
      <c r="G55" s="134"/>
      <c r="H55" s="4">
        <f>2*POWER(COS(B),2)-1</f>
        <v>-0.9524129804151563</v>
      </c>
      <c r="I55" s="1" t="str">
        <f>CONCATENATE("(",B36*2,")")</f>
        <v>(60)</v>
      </c>
      <c r="J55" s="134" t="s">
        <v>172</v>
      </c>
      <c r="K55" s="134"/>
      <c r="L55" s="4">
        <f>IF(2*B36=90,"",2*TAN(B)/(1-POWER(TAN(B),2)))</f>
        <v>0.320040389379563</v>
      </c>
      <c r="M55" s="1" t="str">
        <f>CONCATENATE("(",B36*2,")")</f>
        <v>(60)</v>
      </c>
      <c r="N55" s="134" t="s">
        <v>173</v>
      </c>
      <c r="O55" s="134"/>
      <c r="P55" s="4">
        <f>SIN(2*B)/COS(2*B)</f>
        <v>0.3200403893795629</v>
      </c>
      <c r="Q55" s="1" t="str">
        <f>CONCATENATE("(",B36*2,")")</f>
        <v>(60)</v>
      </c>
    </row>
    <row r="56" spans="3:17" ht="13.5">
      <c r="C56" s="15" t="s">
        <v>174</v>
      </c>
      <c r="D56" s="4">
        <f>3*SIN(B)-4*POWER(SIN(B),3)</f>
        <v>0.8939966636005581</v>
      </c>
      <c r="E56" s="1" t="str">
        <f>CONCATENATE("(",B36*3,")")</f>
        <v>(90)</v>
      </c>
      <c r="F56" s="134" t="s">
        <v>175</v>
      </c>
      <c r="G56" s="134"/>
      <c r="H56" s="4">
        <f>4*POWER(COS(B),3)-3*COS(B)</f>
        <v>-0.4480736161291701</v>
      </c>
      <c r="I56" s="1" t="str">
        <f>CONCATENATE("(",B36*3,")")</f>
        <v>(90)</v>
      </c>
      <c r="J56" s="134" t="s">
        <v>176</v>
      </c>
      <c r="K56" s="134"/>
      <c r="L56" s="4">
        <f>IF(3*B36=90,"",TAN(B*3))</f>
      </c>
      <c r="M56" s="1" t="str">
        <f>CONCATENATE("(",B36*3,")")</f>
        <v>(90)</v>
      </c>
      <c r="N56" s="134" t="s">
        <v>177</v>
      </c>
      <c r="O56" s="134"/>
      <c r="P56" s="4">
        <f>SIN(3*B)/COS(3*B)</f>
        <v>-1.995200412208242</v>
      </c>
      <c r="Q56" s="1" t="str">
        <f>CONCATENATE("(",B36*3,")")</f>
        <v>(90)</v>
      </c>
    </row>
    <row r="57" spans="3:13" ht="13.5">
      <c r="C57" s="15"/>
      <c r="D57" s="4"/>
      <c r="E57" s="1"/>
      <c r="F57" s="15"/>
      <c r="G57" s="15"/>
      <c r="H57" s="4"/>
      <c r="I57" s="1"/>
      <c r="J57" s="2"/>
      <c r="K57" s="2"/>
      <c r="L57" s="2"/>
      <c r="M57" s="2"/>
    </row>
    <row r="58" spans="3:17" ht="13.5">
      <c r="C58" s="15" t="s">
        <v>178</v>
      </c>
      <c r="D58" s="4">
        <f>SIN(T/2)</f>
        <v>0.6502878401571168</v>
      </c>
      <c r="E58" s="1" t="str">
        <f>CONCATENATE("(",B37/2,")")</f>
        <v>(15)</v>
      </c>
      <c r="F58" s="134" t="s">
        <v>179</v>
      </c>
      <c r="G58" s="134"/>
      <c r="H58" s="4">
        <f>COS(T/2)</f>
        <v>-0.7596879128588213</v>
      </c>
      <c r="I58" s="1" t="str">
        <f>CONCATENATE("(",B37/2,")")</f>
        <v>(15)</v>
      </c>
      <c r="J58" s="134" t="s">
        <v>180</v>
      </c>
      <c r="K58" s="134"/>
      <c r="L58" s="4">
        <f>TAN(T/2)</f>
        <v>-0.8559934009085187</v>
      </c>
      <c r="M58" s="1" t="str">
        <f>CONCATENATE("(",B37/2,")")</f>
        <v>(15)</v>
      </c>
      <c r="N58" s="134" t="s">
        <v>242</v>
      </c>
      <c r="O58" s="134"/>
      <c r="P58" s="4">
        <f>SIN(T/2)/COS(T/2)</f>
        <v>-0.8559934009085187</v>
      </c>
      <c r="Q58" s="1" t="str">
        <f>CONCATENATE("(",B37/2,")")</f>
        <v>(15)</v>
      </c>
    </row>
    <row r="59" spans="3:17" ht="13.5">
      <c r="C59" s="15" t="s">
        <v>181</v>
      </c>
      <c r="D59" s="4">
        <f>2*SIN(T)*COS(T)</f>
        <v>-0.3048106211022167</v>
      </c>
      <c r="E59" s="1" t="str">
        <f>CONCATENATE("(",B37*2,")")</f>
        <v>(60)</v>
      </c>
      <c r="F59" s="134" t="s">
        <v>182</v>
      </c>
      <c r="G59" s="134"/>
      <c r="H59" s="4">
        <f>2*POWER(COS(T),2)-1</f>
        <v>-0.9524129804151563</v>
      </c>
      <c r="I59" s="1" t="str">
        <f>CONCATENATE("(",B37*2,")")</f>
        <v>(60)</v>
      </c>
      <c r="J59" s="134" t="s">
        <v>183</v>
      </c>
      <c r="K59" s="134"/>
      <c r="L59" s="4">
        <f>TAN(2*T)</f>
        <v>0.320040389379563</v>
      </c>
      <c r="M59" s="1" t="str">
        <f>CONCATENATE("(",B37*2,")")</f>
        <v>(60)</v>
      </c>
      <c r="N59" s="134" t="s">
        <v>243</v>
      </c>
      <c r="O59" s="134"/>
      <c r="P59" s="4">
        <f>SIN(2*T)/COS(2*T)</f>
        <v>0.3200403893795629</v>
      </c>
      <c r="Q59" s="1" t="str">
        <f>CONCATENATE("(",B37*2,")")</f>
        <v>(60)</v>
      </c>
    </row>
    <row r="60" spans="3:17" ht="13.5">
      <c r="C60" s="15" t="s">
        <v>184</v>
      </c>
      <c r="D60" s="4">
        <f>3*SIN(T)-4*POWER(SIN(T),3)</f>
        <v>0.8939966636005581</v>
      </c>
      <c r="E60" s="1" t="str">
        <f>CONCATENATE("(",B37*3,")")</f>
        <v>(90)</v>
      </c>
      <c r="F60" s="134" t="s">
        <v>185</v>
      </c>
      <c r="G60" s="134"/>
      <c r="H60" s="4">
        <f>4*POWER(COS(T),3)-3*COS(T)</f>
        <v>-0.4480736161291701</v>
      </c>
      <c r="I60" s="1" t="str">
        <f>CONCATENATE("(",B37*3,")")</f>
        <v>(90)</v>
      </c>
      <c r="J60" s="134" t="s">
        <v>186</v>
      </c>
      <c r="K60" s="134"/>
      <c r="L60" s="4">
        <f>IF(3*B37=90,"",TAN(T*3))</f>
      </c>
      <c r="M60" s="1" t="str">
        <f>CONCATENATE("(",B37*3,")")</f>
        <v>(90)</v>
      </c>
      <c r="N60" s="134" t="s">
        <v>244</v>
      </c>
      <c r="O60" s="134"/>
      <c r="P60" s="4">
        <f>SIN(3*T)/COS(3*T)</f>
        <v>-1.995200412208242</v>
      </c>
      <c r="Q60" s="1" t="str">
        <f>CONCATENATE("(",B37*3,")")</f>
        <v>(90)</v>
      </c>
    </row>
    <row r="61" spans="3:17" ht="13.5">
      <c r="C61" s="15"/>
      <c r="D61" s="4"/>
      <c r="E61" s="1"/>
      <c r="F61" s="15"/>
      <c r="G61" s="15"/>
      <c r="H61" s="4"/>
      <c r="I61" s="1"/>
      <c r="J61" s="15"/>
      <c r="K61" s="15"/>
      <c r="L61" s="4"/>
      <c r="M61" s="1"/>
      <c r="N61" s="15"/>
      <c r="O61" s="15"/>
      <c r="P61" s="4"/>
      <c r="Q61" s="1"/>
    </row>
    <row r="62" spans="3:17" ht="13.5">
      <c r="C62" s="15" t="s">
        <v>187</v>
      </c>
      <c r="D62" s="4">
        <f>(1-COS(A))/2</f>
        <v>0.0929095147367191</v>
      </c>
      <c r="E62" s="1" t="str">
        <f>CONCATENATE("(",B35/2,")")</f>
        <v>(60)</v>
      </c>
      <c r="F62" s="134" t="s">
        <v>188</v>
      </c>
      <c r="G62" s="134"/>
      <c r="H62" s="4">
        <f>(1+COS(A))/2</f>
        <v>0.9070904852632808</v>
      </c>
      <c r="I62" s="1" t="str">
        <f>CONCATENATE("(",B35/2,")")</f>
        <v>(60)</v>
      </c>
      <c r="J62" s="134" t="s">
        <v>189</v>
      </c>
      <c r="K62" s="134"/>
      <c r="L62" s="4">
        <f>(TAN(A/2))^2</f>
        <v>0.10242585083422229</v>
      </c>
      <c r="M62" s="1" t="str">
        <f>CONCATENATE("(",B35/2,")")</f>
        <v>(60)</v>
      </c>
      <c r="N62" s="135" t="s">
        <v>190</v>
      </c>
      <c r="O62" s="134"/>
      <c r="P62" s="4">
        <f>(SIN(A/2))^2+(COS(A/2))^2</f>
        <v>1</v>
      </c>
      <c r="Q62" s="1" t="str">
        <f>CONCATENATE("(",B35/2,")")</f>
        <v>(60)</v>
      </c>
    </row>
    <row r="63" spans="3:17" ht="13.5">
      <c r="C63" s="15" t="s">
        <v>191</v>
      </c>
      <c r="D63" s="4">
        <f>1-(COS(A))^2</f>
        <v>0.3371093472324259</v>
      </c>
      <c r="E63" s="1" t="str">
        <f>CONCATENATE("(",B35,")")</f>
        <v>(120)</v>
      </c>
      <c r="F63" s="134" t="s">
        <v>192</v>
      </c>
      <c r="G63" s="134"/>
      <c r="H63" s="4">
        <f>1-(SIN(A))^2</f>
        <v>0.662890652767574</v>
      </c>
      <c r="I63" s="1" t="str">
        <f>CONCATENATE("(",B35,")")</f>
        <v>(120)</v>
      </c>
      <c r="J63" s="134" t="s">
        <v>193</v>
      </c>
      <c r="K63" s="134"/>
      <c r="L63" s="4">
        <f>(TAN(A))^2</f>
        <v>0.5085444270861139</v>
      </c>
      <c r="M63" s="1" t="str">
        <f>CONCATENATE("(",B35,")")</f>
        <v>(120)</v>
      </c>
      <c r="N63" s="135" t="s">
        <v>194</v>
      </c>
      <c r="O63" s="134"/>
      <c r="P63" s="4">
        <f>(SIN(A))^2+(COS(A))^2</f>
        <v>1</v>
      </c>
      <c r="Q63" s="1" t="str">
        <f>CONCATENATE("(",B35,")")</f>
        <v>(120)</v>
      </c>
    </row>
    <row r="64" spans="3:17" ht="13.5">
      <c r="C64" s="15"/>
      <c r="D64" s="4"/>
      <c r="E64" s="1"/>
      <c r="F64" s="15"/>
      <c r="G64" s="15"/>
      <c r="H64" s="4"/>
      <c r="I64" s="1"/>
      <c r="J64" s="15"/>
      <c r="K64" s="15"/>
      <c r="L64" s="4"/>
      <c r="M64" s="1"/>
      <c r="N64" s="1"/>
      <c r="O64" s="15"/>
      <c r="P64" s="4"/>
      <c r="Q64" s="1"/>
    </row>
    <row r="66" spans="3:17" ht="13.5">
      <c r="C66" s="15" t="s">
        <v>195</v>
      </c>
      <c r="D66" s="4">
        <f>(1-COS(B))/2</f>
        <v>0.422874275056208</v>
      </c>
      <c r="E66" s="1" t="str">
        <f>CONCATENATE("(",B36/2,")")</f>
        <v>(15)</v>
      </c>
      <c r="F66" s="134" t="s">
        <v>196</v>
      </c>
      <c r="G66" s="134"/>
      <c r="H66" s="4">
        <f>(1+COS(B))/2</f>
        <v>0.577125724943792</v>
      </c>
      <c r="I66" s="1" t="str">
        <f>CONCATENATE("(",B36/2,")")</f>
        <v>(15)</v>
      </c>
      <c r="J66" s="134" t="s">
        <v>197</v>
      </c>
      <c r="K66" s="134"/>
      <c r="L66" s="4">
        <f>(TAN(B/2))^2</f>
        <v>0.7327247023989321</v>
      </c>
      <c r="M66" s="1" t="str">
        <f>CONCATENATE("(",B36/2,")")</f>
        <v>(15)</v>
      </c>
      <c r="N66" s="135" t="s">
        <v>198</v>
      </c>
      <c r="O66" s="134"/>
      <c r="P66" s="4">
        <f>(SIN(B/2))^2+(COS(B/2))^2</f>
        <v>1</v>
      </c>
      <c r="Q66" s="1" t="str">
        <f>CONCATENATE("(",B36/2,")")</f>
        <v>(15)</v>
      </c>
    </row>
    <row r="67" spans="3:17" ht="13.5">
      <c r="C67" s="15" t="s">
        <v>199</v>
      </c>
      <c r="D67" s="4">
        <f>1-(COS(B))^2</f>
        <v>0.9762064902075781</v>
      </c>
      <c r="E67" s="1" t="str">
        <f>CONCATENATE("(",B36,")")</f>
        <v>(30)</v>
      </c>
      <c r="F67" s="134" t="s">
        <v>200</v>
      </c>
      <c r="G67" s="134"/>
      <c r="H67" s="4">
        <f>1-(SIN(B))^2</f>
        <v>0.023793509792421785</v>
      </c>
      <c r="I67" s="1" t="str">
        <f>CONCATENATE("(",B36,")")</f>
        <v>(30)</v>
      </c>
      <c r="J67" s="134" t="s">
        <v>201</v>
      </c>
      <c r="K67" s="134"/>
      <c r="L67" s="4">
        <f>(TAN(B))^2</f>
        <v>41.02826773873001</v>
      </c>
      <c r="M67" s="1" t="str">
        <f>CONCATENATE("(",B36,")")</f>
        <v>(30)</v>
      </c>
      <c r="N67" s="135" t="s">
        <v>202</v>
      </c>
      <c r="O67" s="134"/>
      <c r="P67" s="4">
        <f>(SIN(B))^2+(COS(B))^2</f>
        <v>1</v>
      </c>
      <c r="Q67" s="1" t="str">
        <f>CONCATENATE("(",B36,")")</f>
        <v>(30)</v>
      </c>
    </row>
    <row r="69" spans="3:17" ht="13.5">
      <c r="C69" s="15" t="s">
        <v>203</v>
      </c>
      <c r="D69" s="4">
        <f>(1-COS(T))/2</f>
        <v>0.422874275056208</v>
      </c>
      <c r="E69" s="1" t="str">
        <f>CONCATENATE("(",B37/2,")")</f>
        <v>(15)</v>
      </c>
      <c r="F69" s="134" t="s">
        <v>204</v>
      </c>
      <c r="G69" s="134"/>
      <c r="H69" s="4">
        <f>(1+COS(T))/2</f>
        <v>0.577125724943792</v>
      </c>
      <c r="I69" s="1" t="str">
        <f>CONCATENATE("(",B37/2,")")</f>
        <v>(15)</v>
      </c>
      <c r="J69" s="134" t="s">
        <v>205</v>
      </c>
      <c r="K69" s="134"/>
      <c r="L69" s="4">
        <f>(TAN(T/2))^2</f>
        <v>0.7327247023989321</v>
      </c>
      <c r="M69" s="1" t="str">
        <f>CONCATENATE("(",B37/2,")")</f>
        <v>(15)</v>
      </c>
      <c r="N69" s="135" t="s">
        <v>206</v>
      </c>
      <c r="O69" s="134"/>
      <c r="P69" s="4">
        <f>(SIN(T/2))^2+(COS(T/2))^2</f>
        <v>1</v>
      </c>
      <c r="Q69" s="1" t="str">
        <f>CONCATENATE("(",B37/2,")")</f>
        <v>(15)</v>
      </c>
    </row>
    <row r="70" spans="3:17" ht="13.5">
      <c r="C70" s="15" t="s">
        <v>207</v>
      </c>
      <c r="D70" s="4">
        <f>1-(COS(T))^2</f>
        <v>0.9762064902075781</v>
      </c>
      <c r="E70" s="1" t="str">
        <f>CONCATENATE("(",B37,")")</f>
        <v>(30)</v>
      </c>
      <c r="F70" s="134" t="s">
        <v>208</v>
      </c>
      <c r="G70" s="134"/>
      <c r="H70" s="4">
        <f>1-(SIN(T))^2</f>
        <v>0.023793509792421785</v>
      </c>
      <c r="I70" s="1" t="str">
        <f>CONCATENATE("(",B37,")")</f>
        <v>(30)</v>
      </c>
      <c r="J70" s="134" t="s">
        <v>209</v>
      </c>
      <c r="K70" s="134"/>
      <c r="L70" s="4">
        <f>(TAN(T))^2</f>
        <v>41.02826773873001</v>
      </c>
      <c r="M70" s="1" t="str">
        <f>CONCATENATE("(",B37,")")</f>
        <v>(30)</v>
      </c>
      <c r="N70" s="135" t="s">
        <v>210</v>
      </c>
      <c r="O70" s="134"/>
      <c r="P70" s="4">
        <f>(SIN(T))^2+(COS(T))^2</f>
        <v>1</v>
      </c>
      <c r="Q70" s="1" t="str">
        <f>CONCATENATE("(",B37,")")</f>
        <v>(30)</v>
      </c>
    </row>
    <row r="72" spans="14:16" ht="13.5">
      <c r="N72" s="135" t="s">
        <v>211</v>
      </c>
      <c r="O72" s="134"/>
      <c r="P72" s="4">
        <f>(TAN(A))^2+(TAN(B))^2</f>
        <v>41.53681216581612</v>
      </c>
    </row>
    <row r="73" spans="3:13" ht="13.5">
      <c r="C73" s="15" t="s">
        <v>212</v>
      </c>
      <c r="D73" s="4">
        <f>1/SIN(A)</f>
        <v>1.7223230058109356</v>
      </c>
      <c r="E73" s="1" t="str">
        <f>CONCATENATE("(",B35,")")</f>
        <v>(120)</v>
      </c>
      <c r="F73" s="134" t="s">
        <v>213</v>
      </c>
      <c r="G73" s="134"/>
      <c r="H73" s="4">
        <f>1/COS(A)</f>
        <v>1.2282281657274081</v>
      </c>
      <c r="I73" s="1" t="str">
        <f>CONCATENATE("(",B35,")")</f>
        <v>(120)</v>
      </c>
      <c r="J73" s="134" t="s">
        <v>214</v>
      </c>
      <c r="K73" s="134"/>
      <c r="L73" s="4">
        <f>TAN($A$1*90-A)</f>
        <v>1.4022826164313567</v>
      </c>
      <c r="M73" s="1" t="str">
        <f>CONCATENATE("(",B35,")")</f>
        <v>(120)</v>
      </c>
    </row>
    <row r="74" spans="3:13" ht="13.5">
      <c r="C74" s="15" t="s">
        <v>215</v>
      </c>
      <c r="D74" s="4">
        <f>1/(SIN(A))^2</f>
        <v>2.966396536345616</v>
      </c>
      <c r="E74" s="1" t="str">
        <f>CONCATENATE("(",B35,")")</f>
        <v>(120)</v>
      </c>
      <c r="F74" s="134" t="s">
        <v>216</v>
      </c>
      <c r="G74" s="134"/>
      <c r="H74" s="4">
        <f>1/(COS(A))^2</f>
        <v>1.5085444270861137</v>
      </c>
      <c r="I74" s="1" t="str">
        <f>CONCATENATE("(",B35,")")</f>
        <v>(120)</v>
      </c>
      <c r="J74" s="134" t="s">
        <v>217</v>
      </c>
      <c r="K74" s="134"/>
      <c r="L74" s="4">
        <f>(TAN($A$1*90-A))^2</f>
        <v>1.9663965363455713</v>
      </c>
      <c r="M74" s="1" t="str">
        <f>CONCATENATE("(",B35,")")</f>
        <v>(120)</v>
      </c>
    </row>
    <row r="75" spans="3:13" ht="13.5">
      <c r="C75" s="15"/>
      <c r="D75" s="4"/>
      <c r="E75" s="1"/>
      <c r="F75" s="15"/>
      <c r="G75" s="15"/>
      <c r="H75" s="4"/>
      <c r="I75" s="1"/>
      <c r="J75" s="15"/>
      <c r="K75" s="15"/>
      <c r="L75" s="4"/>
      <c r="M75" s="1"/>
    </row>
    <row r="76" spans="3:16" ht="13.5">
      <c r="C76" s="15" t="s">
        <v>218</v>
      </c>
      <c r="D76" s="4">
        <f>1/SIN(B)</f>
        <v>-1.012113353070178</v>
      </c>
      <c r="E76" s="1" t="str">
        <f>CONCATENATE("(",B36,")")</f>
        <v>(30)</v>
      </c>
      <c r="F76" s="134" t="s">
        <v>219</v>
      </c>
      <c r="G76" s="134"/>
      <c r="H76" s="4">
        <f>1/COS(B)</f>
        <v>6.482921234962678</v>
      </c>
      <c r="I76" s="1" t="str">
        <f>CONCATENATE("(",B36,")")</f>
        <v>(30)</v>
      </c>
      <c r="J76" s="134" t="s">
        <v>220</v>
      </c>
      <c r="K76" s="134"/>
      <c r="L76" s="4">
        <f>TAN($A$1*90-B)</f>
        <v>-0.15611995216165747</v>
      </c>
      <c r="M76" s="1" t="str">
        <f>CONCATENATE("(",B36,")")</f>
        <v>(30)</v>
      </c>
      <c r="N76" s="135" t="s">
        <v>221</v>
      </c>
      <c r="O76" s="134"/>
      <c r="P76" s="4">
        <f>TAN($A$1*90-A)+TAN($A$1*90-B)</f>
        <v>1.2461626642696992</v>
      </c>
    </row>
    <row r="77" spans="3:16" ht="13.5">
      <c r="C77" s="15" t="s">
        <v>222</v>
      </c>
      <c r="D77" s="4">
        <f>1/((SIN(B))^2)</f>
        <v>1.0243734394629587</v>
      </c>
      <c r="E77" s="1" t="str">
        <f>CONCATENATE("(",B36,")")</f>
        <v>(30)</v>
      </c>
      <c r="F77" s="134" t="s">
        <v>223</v>
      </c>
      <c r="G77" s="134"/>
      <c r="H77" s="4">
        <f>1/(COS(B))^2</f>
        <v>42.028267738730015</v>
      </c>
      <c r="I77" s="1" t="str">
        <f>CONCATENATE("(",B36,")")</f>
        <v>(30)</v>
      </c>
      <c r="J77" s="134" t="s">
        <v>224</v>
      </c>
      <c r="K77" s="134"/>
      <c r="L77" s="4">
        <f>(TAN($A$1*90-B))^2</f>
        <v>0.024373439462958217</v>
      </c>
      <c r="M77" s="1" t="str">
        <f>CONCATENATE("(",B36,")")</f>
        <v>(30)</v>
      </c>
      <c r="N77" s="135" t="s">
        <v>225</v>
      </c>
      <c r="O77" s="134"/>
      <c r="P77" s="4">
        <f>(TAN($A$1*90-A))^2+(TAN($A$1*90-B))^2</f>
        <v>1.9907699758085295</v>
      </c>
    </row>
    <row r="79" spans="3:16" ht="13.5">
      <c r="C79" s="15" t="s">
        <v>227</v>
      </c>
      <c r="D79" s="4">
        <f>1/SIN(T)</f>
        <v>-1.012113353070178</v>
      </c>
      <c r="E79" s="1" t="str">
        <f>CONCATENATE("(",B37,")")</f>
        <v>(30)</v>
      </c>
      <c r="F79" s="134" t="s">
        <v>228</v>
      </c>
      <c r="G79" s="134"/>
      <c r="H79" s="4">
        <f>1/COS(T)</f>
        <v>6.482921234962678</v>
      </c>
      <c r="I79" s="1" t="str">
        <f>CONCATENATE("(",B37,")")</f>
        <v>(30)</v>
      </c>
      <c r="J79" s="134" t="s">
        <v>229</v>
      </c>
      <c r="K79" s="134"/>
      <c r="L79" s="4">
        <f>1/TAN(PI-A-B)</f>
        <v>0.9781422040185601</v>
      </c>
      <c r="M79" s="1" t="str">
        <f>CONCATENATE("(",B37,")")</f>
        <v>(30)</v>
      </c>
      <c r="N79" s="135" t="s">
        <v>230</v>
      </c>
      <c r="O79" s="134"/>
      <c r="P79" s="4">
        <f>1/TAN(A)+1/TAN(B)+1/TAN(T)</f>
        <v>1.0900427121080543</v>
      </c>
    </row>
    <row r="80" spans="1:16" ht="13.5">
      <c r="A80" s="20" t="s">
        <v>226</v>
      </c>
      <c r="B80" s="20" t="s">
        <v>226</v>
      </c>
      <c r="C80" s="15" t="s">
        <v>231</v>
      </c>
      <c r="D80" s="4">
        <f>1/((SIN(T))^2)</f>
        <v>1.0243734394629587</v>
      </c>
      <c r="E80" s="1" t="str">
        <f>CONCATENATE("(",B37,")")</f>
        <v>(30)</v>
      </c>
      <c r="F80" s="134" t="s">
        <v>232</v>
      </c>
      <c r="G80" s="134"/>
      <c r="H80" s="4">
        <f>1/(COS(T))^2</f>
        <v>42.028267738730015</v>
      </c>
      <c r="I80" s="1" t="str">
        <f>CONCATENATE("(",B37,")")</f>
        <v>(30)</v>
      </c>
      <c r="J80" s="134" t="s">
        <v>233</v>
      </c>
      <c r="K80" s="134"/>
      <c r="L80" s="4">
        <f>1/(TAN(T))^2</f>
        <v>0.024373439462958765</v>
      </c>
      <c r="M80" s="1" t="str">
        <f>CONCATENATE("(",B37,")")</f>
        <v>(30)</v>
      </c>
      <c r="N80" s="135" t="s">
        <v>234</v>
      </c>
      <c r="O80" s="134"/>
      <c r="P80" s="4">
        <f>1/(TAN(A))^2+1/(TAN(B))^2+1/(TAN(T))^2</f>
        <v>2.0151434152715333</v>
      </c>
    </row>
  </sheetData>
  <mergeCells count="88">
    <mergeCell ref="F70:G70"/>
    <mergeCell ref="J70:K70"/>
    <mergeCell ref="N70:O70"/>
    <mergeCell ref="J60:K60"/>
    <mergeCell ref="N60:O60"/>
    <mergeCell ref="F69:G69"/>
    <mergeCell ref="J69:K69"/>
    <mergeCell ref="N69:O69"/>
    <mergeCell ref="J66:K66"/>
    <mergeCell ref="J67:K67"/>
    <mergeCell ref="J58:K58"/>
    <mergeCell ref="N58:O58"/>
    <mergeCell ref="F59:G59"/>
    <mergeCell ref="J59:K59"/>
    <mergeCell ref="N59:O59"/>
    <mergeCell ref="F79:G79"/>
    <mergeCell ref="J79:K79"/>
    <mergeCell ref="N79:O79"/>
    <mergeCell ref="F80:G80"/>
    <mergeCell ref="J80:K80"/>
    <mergeCell ref="N80:O80"/>
    <mergeCell ref="J62:K62"/>
    <mergeCell ref="N43:O43"/>
    <mergeCell ref="N44:O44"/>
    <mergeCell ref="J55:K55"/>
    <mergeCell ref="J50:K50"/>
    <mergeCell ref="J54:K54"/>
    <mergeCell ref="N45:O45"/>
    <mergeCell ref="J56:K56"/>
    <mergeCell ref="N52:O52"/>
    <mergeCell ref="N54:O54"/>
    <mergeCell ref="N72:O72"/>
    <mergeCell ref="N63:O63"/>
    <mergeCell ref="N66:O66"/>
    <mergeCell ref="N67:O67"/>
    <mergeCell ref="B47:C47"/>
    <mergeCell ref="F47:G47"/>
    <mergeCell ref="B48:C48"/>
    <mergeCell ref="J43:K43"/>
    <mergeCell ref="J44:K44"/>
    <mergeCell ref="J45:K45"/>
    <mergeCell ref="F44:G44"/>
    <mergeCell ref="B45:C45"/>
    <mergeCell ref="F45:G45"/>
    <mergeCell ref="B46:C46"/>
    <mergeCell ref="F46:G46"/>
    <mergeCell ref="N62:O62"/>
    <mergeCell ref="F56:G56"/>
    <mergeCell ref="F66:G66"/>
    <mergeCell ref="F50:G50"/>
    <mergeCell ref="F52:G52"/>
    <mergeCell ref="F51:G51"/>
    <mergeCell ref="J63:K63"/>
    <mergeCell ref="J51:K51"/>
    <mergeCell ref="J52:K52"/>
    <mergeCell ref="J40:K40"/>
    <mergeCell ref="J41:K41"/>
    <mergeCell ref="B43:C43"/>
    <mergeCell ref="B44:C44"/>
    <mergeCell ref="F43:G43"/>
    <mergeCell ref="B40:C40"/>
    <mergeCell ref="B41:C41"/>
    <mergeCell ref="F40:G40"/>
    <mergeCell ref="F41:G41"/>
    <mergeCell ref="F67:G67"/>
    <mergeCell ref="F54:G54"/>
    <mergeCell ref="F63:G63"/>
    <mergeCell ref="F55:G55"/>
    <mergeCell ref="F62:G62"/>
    <mergeCell ref="F58:G58"/>
    <mergeCell ref="F60:G60"/>
    <mergeCell ref="F73:G73"/>
    <mergeCell ref="J73:K73"/>
    <mergeCell ref="F74:G74"/>
    <mergeCell ref="J74:K74"/>
    <mergeCell ref="N76:O76"/>
    <mergeCell ref="N77:O77"/>
    <mergeCell ref="F76:G76"/>
    <mergeCell ref="J76:K76"/>
    <mergeCell ref="F77:G77"/>
    <mergeCell ref="J77:K77"/>
    <mergeCell ref="N55:O55"/>
    <mergeCell ref="N56:O56"/>
    <mergeCell ref="N35:O35"/>
    <mergeCell ref="N36:O36"/>
    <mergeCell ref="N50:O50"/>
    <mergeCell ref="N51:O51"/>
    <mergeCell ref="N37:O37"/>
  </mergeCells>
  <conditionalFormatting sqref="A1 B24:B27">
    <cfRule type="expression" priority="1" dxfId="0" stopIfTrue="1">
      <formula>CELL($J$2,A1)="l"</formula>
    </cfRule>
    <cfRule type="expression" priority="2" dxfId="1" stopIfTrue="1">
      <formula>CELL($J$2,A1)="v"</formula>
    </cfRule>
    <cfRule type="expression" priority="3" dxfId="2" stopIfTrue="1">
      <formula>CELL($J$2,A1)="b"</formula>
    </cfRule>
  </conditionalFormatting>
  <conditionalFormatting sqref="L40">
    <cfRule type="expression" priority="4" dxfId="3" stopIfTrue="1">
      <formula>B35+B36=90</formula>
    </cfRule>
  </conditionalFormatting>
  <conditionalFormatting sqref="L41">
    <cfRule type="expression" priority="5" dxfId="3" stopIfTrue="1">
      <formula>B35-B36=90</formula>
    </cfRule>
  </conditionalFormatting>
  <conditionalFormatting sqref="P59 P61">
    <cfRule type="expression" priority="6" dxfId="3" stopIfTrue="1">
      <formula>F45/2=90</formula>
    </cfRule>
  </conditionalFormatting>
  <conditionalFormatting sqref="L61">
    <cfRule type="expression" priority="7" dxfId="3" stopIfTrue="1">
      <formula>B46*2=90</formula>
    </cfRule>
  </conditionalFormatting>
  <conditionalFormatting sqref="E18:E23">
    <cfRule type="expression" priority="8" dxfId="3" stopIfTrue="1">
      <formula>B18=90</formula>
    </cfRule>
  </conditionalFormatting>
  <conditionalFormatting sqref="K35:K37 P35 P37">
    <cfRule type="expression" priority="9" dxfId="3" stopIfTrue="1">
      <formula>B35=90</formula>
    </cfRule>
  </conditionalFormatting>
  <conditionalFormatting sqref="L50">
    <cfRule type="expression" priority="10" dxfId="3" stopIfTrue="1">
      <formula>B35/2=90</formula>
    </cfRule>
  </conditionalFormatting>
  <conditionalFormatting sqref="L75">
    <cfRule type="expression" priority="11" dxfId="3" stopIfTrue="1">
      <formula>B54/2=90</formula>
    </cfRule>
  </conditionalFormatting>
  <conditionalFormatting sqref="I25:K26">
    <cfRule type="expression" priority="12" dxfId="3" stopIfTrue="1">
      <formula>NOT(AND(E=1,F=1))</formula>
    </cfRule>
  </conditionalFormatting>
  <conditionalFormatting sqref="D47 H47">
    <cfRule type="expression" priority="13" dxfId="3" stopIfTrue="1">
      <formula>OR($B$35=90,$B$36=90,$B$37=90)</formula>
    </cfRule>
  </conditionalFormatting>
  <conditionalFormatting sqref="P36 L44 L67 H76:H77 L76:L77">
    <cfRule type="expression" priority="14" dxfId="3" stopIfTrue="1">
      <formula>$B$36=90</formula>
    </cfRule>
  </conditionalFormatting>
  <conditionalFormatting sqref="P44 L73:L74">
    <cfRule type="expression" priority="15" dxfId="3" stopIfTrue="1">
      <formula>$B$35=90</formula>
    </cfRule>
  </conditionalFormatting>
  <conditionalFormatting sqref="L45 P45 D48 P72 P76:P77">
    <cfRule type="expression" priority="16" dxfId="3" stopIfTrue="1">
      <formula>OR($B$35=90,$B$36=90)</formula>
    </cfRule>
  </conditionalFormatting>
  <conditionalFormatting sqref="L47">
    <cfRule type="expression" priority="17" dxfId="3" stopIfTrue="1">
      <formula>OR($B$35=90,$B$36=90,)</formula>
    </cfRule>
  </conditionalFormatting>
  <conditionalFormatting sqref="L54">
    <cfRule type="expression" priority="18" dxfId="3" stopIfTrue="1">
      <formula>B36/2=90</formula>
    </cfRule>
  </conditionalFormatting>
  <conditionalFormatting sqref="L56">
    <cfRule type="expression" priority="19" dxfId="3" stopIfTrue="1">
      <formula>OR(B36*3=90,B36*3=270)</formula>
    </cfRule>
  </conditionalFormatting>
  <conditionalFormatting sqref="L52">
    <cfRule type="expression" priority="20" dxfId="3" stopIfTrue="1">
      <formula>OR(B35*3=90,B35*3=270)</formula>
    </cfRule>
  </conditionalFormatting>
  <conditionalFormatting sqref="L51">
    <cfRule type="expression" priority="21" dxfId="3" stopIfTrue="1">
      <formula>OR(B35*2=90,B35*2=270)</formula>
    </cfRule>
  </conditionalFormatting>
  <conditionalFormatting sqref="L55">
    <cfRule type="expression" priority="22" dxfId="3" stopIfTrue="1">
      <formula>OR(B36*2=90,B36*2=270)</formula>
    </cfRule>
  </conditionalFormatting>
  <conditionalFormatting sqref="L58">
    <cfRule type="expression" priority="23" dxfId="3" stopIfTrue="1">
      <formula>B37/2=90</formula>
    </cfRule>
  </conditionalFormatting>
  <conditionalFormatting sqref="L59">
    <cfRule type="expression" priority="24" dxfId="3" stopIfTrue="1">
      <formula>OR(B37*2=90,B37*2=270)</formula>
    </cfRule>
  </conditionalFormatting>
  <conditionalFormatting sqref="L60">
    <cfRule type="expression" priority="25" dxfId="3" stopIfTrue="1">
      <formula>OR(B37*3=90,B37*3=270)</formula>
    </cfRule>
  </conditionalFormatting>
  <conditionalFormatting sqref="P50">
    <cfRule type="expression" priority="26" dxfId="3" stopIfTrue="1">
      <formula>B35/2=90</formula>
    </cfRule>
  </conditionalFormatting>
  <conditionalFormatting sqref="P51">
    <cfRule type="expression" priority="27" dxfId="3" stopIfTrue="1">
      <formula>OR(B35*2=90,B35*2=270)</formula>
    </cfRule>
  </conditionalFormatting>
  <conditionalFormatting sqref="P52">
    <cfRule type="expression" priority="28" dxfId="3" stopIfTrue="1">
      <formula>OR(B35*3=90,B35*3=270)</formula>
    </cfRule>
  </conditionalFormatting>
  <conditionalFormatting sqref="P54">
    <cfRule type="expression" priority="29" dxfId="3" stopIfTrue="1">
      <formula>B36/2=90</formula>
    </cfRule>
  </conditionalFormatting>
  <conditionalFormatting sqref="P55">
    <cfRule type="expression" priority="30" dxfId="3" stopIfTrue="1">
      <formula>OR(B36*2=90,B36*2=270)</formula>
    </cfRule>
  </conditionalFormatting>
  <conditionalFormatting sqref="P56">
    <cfRule type="expression" priority="31" dxfId="3" stopIfTrue="1">
      <formula>OR(B36*3=90,B36*3=270)</formula>
    </cfRule>
  </conditionalFormatting>
  <conditionalFormatting sqref="P58">
    <cfRule type="expression" priority="32" dxfId="3" stopIfTrue="1">
      <formula>B37/2=90</formula>
    </cfRule>
  </conditionalFormatting>
  <conditionalFormatting sqref="P60">
    <cfRule type="expression" priority="33" dxfId="3" stopIfTrue="1">
      <formula>OR(B37*3=90,B37*3=270)</formula>
    </cfRule>
  </conditionalFormatting>
  <conditionalFormatting sqref="L70 H79:H80">
    <cfRule type="expression" priority="34" dxfId="3" stopIfTrue="1">
      <formula>$B$37=90</formula>
    </cfRule>
  </conditionalFormatting>
  <conditionalFormatting sqref="L79">
    <cfRule type="expression" priority="35" dxfId="3" stopIfTrue="1">
      <formula>B37=90</formula>
    </cfRule>
  </conditionalFormatting>
  <conditionalFormatting sqref="L80">
    <cfRule type="expression" priority="36" dxfId="3" stopIfTrue="1">
      <formula>B37=90</formula>
    </cfRule>
  </conditionalFormatting>
  <conditionalFormatting sqref="P79">
    <cfRule type="expression" priority="37" dxfId="3" stopIfTrue="1">
      <formula>OR(B35=90,B36=90,B37=90)</formula>
    </cfRule>
  </conditionalFormatting>
  <conditionalFormatting sqref="P80">
    <cfRule type="expression" priority="38" dxfId="3" stopIfTrue="1">
      <formula>OR(B35=90,B36=90,B37=90)</formula>
    </cfRule>
  </conditionalFormatting>
  <dataValidations count="5">
    <dataValidation type="list" allowBlank="1" showInputMessage="1" showErrorMessage="1" promptTitle="Select degrees" prompt="Use dropdown list" sqref="B35:B37">
      <formula1>$B$2:$B$23</formula1>
    </dataValidation>
    <dataValidation allowBlank="1" showInputMessage="1" showErrorMessage="1" promptTitle="Degrees" prompt="eg. 11.25" sqref="B18 B21"/>
    <dataValidation allowBlank="1" showInputMessage="1" showErrorMessage="1" promptTitle="180-(B21+B22) Degrees" prompt="180-(B21+B22) Degrees" sqref="B23"/>
    <dataValidation allowBlank="1" showInputMessage="1" showErrorMessage="1" promptTitle="180-(B18+B19) Degrees" prompt="180-(B18+B19) Degrees" sqref="B20"/>
    <dataValidation type="list" allowBlank="1" showInputMessage="1" showErrorMessage="1" sqref="G21">
      <formula1>$H$21:$I$21</formula1>
    </dataValidation>
  </dataValidations>
  <hyperlinks>
    <hyperlink ref="M1" r:id="rId1" display="Excel Calendar"/>
    <hyperlink ref="B42:C42" r:id="rId2" display="sin(60degrees)-sin(30degrees) - Google Search"/>
    <hyperlink ref="C25" r:id="rId3" display="Trigonometry of right triangles"/>
    <hyperlink ref="B1" location="D" display="Length"/>
  </hyperlinks>
  <printOptions/>
  <pageMargins left="0.14" right="0.79" top="0.36" bottom="0.33" header="0.21" footer="0.16"/>
  <pageSetup horizontalDpi="360" verticalDpi="360" orientation="landscape" paperSize="9" scale="70" r:id="rId7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97"/>
  <sheetViews>
    <sheetView zoomScale="75" zoomScaleNormal="75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6" sqref="N6"/>
    </sheetView>
  </sheetViews>
  <sheetFormatPr defaultColWidth="9.00390625" defaultRowHeight="13.5"/>
  <cols>
    <col min="1" max="1" width="12.125" style="0" bestFit="1" customWidth="1"/>
    <col min="2" max="2" width="16.00390625" style="0" customWidth="1"/>
    <col min="3" max="3" width="10.75390625" style="0" bestFit="1" customWidth="1"/>
    <col min="4" max="4" width="10.875" style="0" bestFit="1" customWidth="1"/>
    <col min="5" max="5" width="11.125" style="0" bestFit="1" customWidth="1"/>
    <col min="6" max="6" width="10.125" style="0" bestFit="1" customWidth="1"/>
    <col min="7" max="7" width="11.125" style="0" bestFit="1" customWidth="1"/>
    <col min="8" max="9" width="9.125" style="0" bestFit="1" customWidth="1"/>
    <col min="10" max="10" width="12.25390625" style="0" bestFit="1" customWidth="1"/>
    <col min="11" max="11" width="16.00390625" style="0" customWidth="1"/>
    <col min="12" max="12" width="10.75390625" style="0" customWidth="1"/>
    <col min="13" max="13" width="10.125" style="0" bestFit="1" customWidth="1"/>
    <col min="14" max="14" width="10.00390625" style="0" customWidth="1"/>
    <col min="15" max="15" width="9.125" style="0" bestFit="1" customWidth="1"/>
    <col min="17" max="17" width="16.00390625" style="0" customWidth="1"/>
    <col min="18" max="18" width="10.75390625" style="0" customWidth="1"/>
    <col min="19" max="19" width="10.125" style="0" customWidth="1"/>
    <col min="20" max="20" width="10.00390625" style="0" customWidth="1"/>
    <col min="235" max="235" width="9.75390625" style="0" bestFit="1" customWidth="1"/>
    <col min="236" max="236" width="10.75390625" style="0" bestFit="1" customWidth="1"/>
    <col min="237" max="237" width="9.75390625" style="0" bestFit="1" customWidth="1"/>
    <col min="238" max="238" width="10.125" style="0" bestFit="1" customWidth="1"/>
    <col min="239" max="239" width="9.75390625" style="0" bestFit="1" customWidth="1"/>
  </cols>
  <sheetData>
    <row r="1" spans="1:239" ht="14.25">
      <c r="A1" s="94">
        <f>PI()*2/360</f>
        <v>0.017453292519943295</v>
      </c>
      <c r="B1" s="103" t="s">
        <v>99</v>
      </c>
      <c r="C1" s="69" t="s">
        <v>253</v>
      </c>
      <c r="E1" s="115" t="s">
        <v>317</v>
      </c>
      <c r="G1" s="115" t="s">
        <v>322</v>
      </c>
      <c r="H1" s="115" t="s">
        <v>348</v>
      </c>
      <c r="IA1" s="17">
        <f>PI()*2/360</f>
        <v>0.017453292519943295</v>
      </c>
      <c r="IC1" s="1" t="s">
        <v>101</v>
      </c>
      <c r="ID1" s="1" t="s">
        <v>102</v>
      </c>
      <c r="IE1" s="1" t="s">
        <v>103</v>
      </c>
    </row>
    <row r="2" spans="1:239" ht="13.5" customHeight="1">
      <c r="A2" s="103" t="s">
        <v>318</v>
      </c>
      <c r="B2" s="20" t="s">
        <v>7</v>
      </c>
      <c r="C2" s="20" t="s">
        <v>8</v>
      </c>
      <c r="D2" s="20" t="s">
        <v>303</v>
      </c>
      <c r="J2" s="62" t="s">
        <v>10</v>
      </c>
      <c r="HZ2" s="25">
        <f aca="true" t="shared" si="0" ref="HZ2:IA25">TRUNC(IC2,6)</f>
        <v>0</v>
      </c>
      <c r="IA2" s="25">
        <f t="shared" si="0"/>
        <v>1</v>
      </c>
      <c r="IB2" s="2">
        <v>0</v>
      </c>
      <c r="IC2" s="4">
        <f>SIN($A$1*IB2)</f>
        <v>0</v>
      </c>
      <c r="ID2" s="4">
        <f>COS($A$1*IB2)</f>
        <v>1</v>
      </c>
      <c r="IE2" s="4">
        <f>TAN($A$1*IB2)</f>
        <v>0</v>
      </c>
    </row>
    <row r="3" spans="2:239" ht="14.25">
      <c r="B3" s="20" t="s">
        <v>302</v>
      </c>
      <c r="H3" s="115" t="s">
        <v>352</v>
      </c>
      <c r="M3" s="114" t="s">
        <v>350</v>
      </c>
      <c r="S3" s="114" t="s">
        <v>350</v>
      </c>
      <c r="HZ3" s="25">
        <f t="shared" si="0"/>
        <v>0.017452</v>
      </c>
      <c r="IA3" s="25">
        <f t="shared" si="0"/>
        <v>0.999847</v>
      </c>
      <c r="IB3" s="2">
        <v>1</v>
      </c>
      <c r="IC3" s="4">
        <f aca="true" t="shared" si="1" ref="IC3:IC18">SIN($A$1*IB3)</f>
        <v>0.01745240643728351</v>
      </c>
      <c r="ID3" s="4">
        <f aca="true" t="shared" si="2" ref="ID3:ID17">COS($A$1*IB3)</f>
        <v>0.9998476951563913</v>
      </c>
      <c r="IE3" s="4">
        <f aca="true" t="shared" si="3" ref="IE3:IE17">TAN($A$1*IB3)</f>
        <v>0.017455064928217585</v>
      </c>
    </row>
    <row r="4" spans="2:239" ht="14.25">
      <c r="B4">
        <f>A</f>
        <v>120</v>
      </c>
      <c r="C4">
        <f>B</f>
        <v>30</v>
      </c>
      <c r="D4">
        <f>T</f>
        <v>30</v>
      </c>
      <c r="H4" s="115" t="s">
        <v>319</v>
      </c>
      <c r="HZ4" s="25">
        <f t="shared" si="0"/>
        <v>0.258819</v>
      </c>
      <c r="IA4" s="25">
        <f t="shared" si="0"/>
        <v>0.965925</v>
      </c>
      <c r="IB4" s="2">
        <v>15</v>
      </c>
      <c r="IC4" s="4">
        <f t="shared" si="1"/>
        <v>0.25881904510252074</v>
      </c>
      <c r="ID4" s="4">
        <f t="shared" si="2"/>
        <v>0.9659258262890683</v>
      </c>
      <c r="IE4" s="4">
        <f t="shared" si="3"/>
        <v>0.2679491924311227</v>
      </c>
    </row>
    <row r="5" spans="1:239" ht="14.25" thickBot="1">
      <c r="A5" s="20" t="s">
        <v>321</v>
      </c>
      <c r="B5" s="67">
        <f>COS(A*degrees)</f>
        <v>-0.4999999999999998</v>
      </c>
      <c r="C5" s="67">
        <f>COS(B*degrees)</f>
        <v>0.8660254037844387</v>
      </c>
      <c r="D5" s="67">
        <f>COS(T*degrees)</f>
        <v>0.8660254037844387</v>
      </c>
      <c r="HZ5" s="25">
        <f t="shared" si="0"/>
        <v>0.309016</v>
      </c>
      <c r="IA5" s="25">
        <f t="shared" si="0"/>
        <v>0.951056</v>
      </c>
      <c r="IB5" s="2">
        <v>18</v>
      </c>
      <c r="IC5" s="4">
        <f t="shared" si="1"/>
        <v>0.3090169943749474</v>
      </c>
      <c r="ID5" s="4">
        <f t="shared" si="2"/>
        <v>0.9510565162951535</v>
      </c>
      <c r="IE5" s="4">
        <f t="shared" si="3"/>
        <v>0.3249196962329063</v>
      </c>
    </row>
    <row r="6" spans="1:239" ht="15" thickTop="1">
      <c r="A6" s="139">
        <v>39071</v>
      </c>
      <c r="B6" s="115" t="s">
        <v>319</v>
      </c>
      <c r="C6" s="67"/>
      <c r="D6" s="67"/>
      <c r="E6" s="20" t="s">
        <v>301</v>
      </c>
      <c r="K6" s="36" t="s">
        <v>256</v>
      </c>
      <c r="L6" s="82">
        <f>IF(AND(NOT(M16=""),NOT(M6="")),M6,IF(NOT(M16=""),O6,IF(M19=90,N6,M6)))</f>
        <v>1.7320508075688772</v>
      </c>
      <c r="M6" s="97"/>
      <c r="N6" s="88">
        <f>SQRT(K^2+L^2)</f>
        <v>1.4142135623730951</v>
      </c>
      <c r="O6" s="22">
        <f>SQRT(K^2+L^2-2*K*L*COS(M16*degrees))</f>
        <v>1.7320508075688772</v>
      </c>
      <c r="Q6" s="36" t="s">
        <v>256</v>
      </c>
      <c r="R6" s="82">
        <f>IF(AND(NOT(S16=""),NOT(S6="")),S6,IF(NOT(S16=""),U6,IF(S19=90,T6,S6)))</f>
        <v>0</v>
      </c>
      <c r="S6" s="97"/>
      <c r="T6" s="88">
        <f>SQRT(K^2+L^2)</f>
        <v>1.4142135623730951</v>
      </c>
      <c r="U6" s="22">
        <f>SQRT(K^2+L^2-2*K*L*COS(S16*degrees))</f>
        <v>0</v>
      </c>
      <c r="HZ6" s="25"/>
      <c r="IA6" s="25"/>
      <c r="IB6" s="2"/>
      <c r="IC6" s="4"/>
      <c r="ID6" s="4"/>
      <c r="IE6" s="4"/>
    </row>
    <row r="7" spans="1:239" ht="13.5">
      <c r="A7" s="140"/>
      <c r="K7" s="40" t="s">
        <v>257</v>
      </c>
      <c r="L7" s="67">
        <v>1</v>
      </c>
      <c r="M7" s="31">
        <f>SIN(30*degrees)*2</f>
        <v>0.9999999999999999</v>
      </c>
      <c r="N7" s="41">
        <f>SQRT(J^2+L^2)</f>
        <v>2</v>
      </c>
      <c r="Q7" s="40" t="s">
        <v>257</v>
      </c>
      <c r="R7" s="67">
        <v>2</v>
      </c>
      <c r="S7" s="31">
        <v>2</v>
      </c>
      <c r="T7" s="41">
        <f>SQRT(J^2+L^2)</f>
        <v>2</v>
      </c>
      <c r="HZ7" s="25">
        <f t="shared" si="0"/>
        <v>0.382683</v>
      </c>
      <c r="IA7" s="25">
        <f t="shared" si="0"/>
        <v>0.923879</v>
      </c>
      <c r="IB7" s="18">
        <v>22.5</v>
      </c>
      <c r="IC7" s="4">
        <f t="shared" si="1"/>
        <v>0.3826834323650898</v>
      </c>
      <c r="ID7" s="4">
        <f t="shared" si="2"/>
        <v>0.9238795325112867</v>
      </c>
      <c r="IE7" s="4">
        <f t="shared" si="3"/>
        <v>0.41421356237309503</v>
      </c>
    </row>
    <row r="8" spans="1:239" ht="17.25">
      <c r="A8" s="140"/>
      <c r="E8" s="122">
        <f>K*L*COS(A*degrees)</f>
        <v>-0.4999999999999998</v>
      </c>
      <c r="F8">
        <f>K*L*COS(120*degrees)</f>
        <v>-0.4999999999999998</v>
      </c>
      <c r="K8" s="40" t="s">
        <v>258</v>
      </c>
      <c r="L8" s="48">
        <v>1</v>
      </c>
      <c r="M8" s="31">
        <f>SIN(30*degrees)*2</f>
        <v>0.9999999999999999</v>
      </c>
      <c r="N8" s="41">
        <f>SQRT(J^2+K^2)</f>
        <v>2</v>
      </c>
      <c r="Q8" s="40" t="s">
        <v>258</v>
      </c>
      <c r="R8" s="48">
        <v>2</v>
      </c>
      <c r="S8" s="31">
        <v>2</v>
      </c>
      <c r="T8" s="41">
        <f>SQRT(J^2+K^2)</f>
        <v>2</v>
      </c>
      <c r="HZ8" s="25">
        <f t="shared" si="0"/>
        <v>0.5</v>
      </c>
      <c r="IA8" s="25">
        <f t="shared" si="0"/>
        <v>0.866025</v>
      </c>
      <c r="IB8" s="2">
        <v>30</v>
      </c>
      <c r="IC8" s="4">
        <f t="shared" si="1"/>
        <v>0.49999999999999994</v>
      </c>
      <c r="ID8" s="4">
        <f t="shared" si="2"/>
        <v>0.8660254037844387</v>
      </c>
      <c r="IE8" s="4">
        <f t="shared" si="3"/>
        <v>0.5773502691896257</v>
      </c>
    </row>
    <row r="9" spans="1:239" ht="13.5">
      <c r="A9" s="140"/>
      <c r="K9" s="129">
        <f>M21</f>
        <v>30</v>
      </c>
      <c r="L9" s="51"/>
      <c r="M9" s="51"/>
      <c r="N9" s="43"/>
      <c r="Q9" s="129">
        <f>S21</f>
      </c>
      <c r="R9" s="51"/>
      <c r="S9" s="51"/>
      <c r="T9" s="43"/>
      <c r="HZ9" s="25">
        <f t="shared" si="0"/>
        <v>0.587785</v>
      </c>
      <c r="IA9" s="25">
        <f t="shared" si="0"/>
        <v>0.809016</v>
      </c>
      <c r="IB9" s="2">
        <v>36</v>
      </c>
      <c r="IC9" s="4">
        <f t="shared" si="1"/>
        <v>0.5877852522924731</v>
      </c>
      <c r="ID9" s="4">
        <f t="shared" si="2"/>
        <v>0.8090169943749475</v>
      </c>
      <c r="IE9" s="4">
        <f t="shared" si="3"/>
        <v>0.7265425280053609</v>
      </c>
    </row>
    <row r="10" spans="1:239" ht="14.25">
      <c r="A10" s="140"/>
      <c r="B10" t="s">
        <v>307</v>
      </c>
      <c r="D10" t="s">
        <v>306</v>
      </c>
      <c r="K10" s="50"/>
      <c r="L10" s="128">
        <f>IF(J="",O6,J)</f>
        <v>1.7320508075688772</v>
      </c>
      <c r="M10" s="51"/>
      <c r="N10" s="43"/>
      <c r="Q10" s="50"/>
      <c r="R10" s="128">
        <f>IF(J="",U6,J)</f>
        <v>1.7320508075688772</v>
      </c>
      <c r="S10" s="51"/>
      <c r="T10" s="43"/>
      <c r="HZ10" s="25">
        <f t="shared" si="0"/>
        <v>0.707106</v>
      </c>
      <c r="IA10" s="25">
        <f t="shared" si="0"/>
        <v>0.707106</v>
      </c>
      <c r="IB10" s="2">
        <v>45</v>
      </c>
      <c r="IC10" s="4">
        <f t="shared" si="1"/>
        <v>0.7071067811865475</v>
      </c>
      <c r="ID10" s="4">
        <f t="shared" si="2"/>
        <v>0.7071067811865476</v>
      </c>
      <c r="IE10" s="4">
        <f t="shared" si="3"/>
        <v>0.9999999999999999</v>
      </c>
    </row>
    <row r="11" spans="1:239" ht="17.25">
      <c r="A11" s="140"/>
      <c r="B11">
        <f>K*COS(A*degrees)</f>
        <v>-0.4999999999999998</v>
      </c>
      <c r="D11">
        <f>L*COS(0*degrees)</f>
        <v>1</v>
      </c>
      <c r="K11" s="123" t="s">
        <v>254</v>
      </c>
      <c r="L11" s="32"/>
      <c r="M11" s="105" t="s">
        <v>300</v>
      </c>
      <c r="N11" s="41">
        <f>SQRT((COS(A)-COS(0))^2+(SIN(A)-SIN(0))^2)</f>
        <v>0.6096212422044334</v>
      </c>
      <c r="Q11" s="123" t="s">
        <v>254</v>
      </c>
      <c r="R11" s="32"/>
      <c r="S11" s="105" t="s">
        <v>300</v>
      </c>
      <c r="T11" s="41">
        <f>SQRT((COS(A)-COS(0))^2+(SIN(A)-SIN(0))^2)</f>
        <v>0.6096212422044334</v>
      </c>
      <c r="HZ11" s="25">
        <f t="shared" si="0"/>
        <v>0.809016</v>
      </c>
      <c r="IA11" s="25">
        <f t="shared" si="0"/>
        <v>0.587785</v>
      </c>
      <c r="IB11" s="2">
        <v>54</v>
      </c>
      <c r="IC11" s="4">
        <f t="shared" si="1"/>
        <v>0.8090169943749475</v>
      </c>
      <c r="ID11" s="4">
        <f t="shared" si="2"/>
        <v>0.5877852522924731</v>
      </c>
      <c r="IE11" s="4">
        <f t="shared" si="3"/>
        <v>1.3763819204711734</v>
      </c>
    </row>
    <row r="12" spans="1:239" ht="14.25">
      <c r="A12" s="140"/>
      <c r="B12">
        <f>K*SIN(A*degrees)</f>
        <v>0.8660254037844387</v>
      </c>
      <c r="D12">
        <f>L*SIN(0*degrees)</f>
        <v>0</v>
      </c>
      <c r="K12" s="50"/>
      <c r="L12" s="73">
        <f>K</f>
        <v>1</v>
      </c>
      <c r="M12" s="32"/>
      <c r="N12" s="43"/>
      <c r="Q12" s="50"/>
      <c r="R12" s="73">
        <f>K</f>
        <v>1</v>
      </c>
      <c r="S12" s="32"/>
      <c r="T12" s="43"/>
      <c r="HZ12" s="25">
        <f t="shared" si="0"/>
        <v>0.866025</v>
      </c>
      <c r="IA12" s="25">
        <f t="shared" si="0"/>
        <v>0.5</v>
      </c>
      <c r="IB12" s="2">
        <v>60</v>
      </c>
      <c r="IC12" s="4">
        <f t="shared" si="1"/>
        <v>0.8660254037844386</v>
      </c>
      <c r="ID12" s="4">
        <f t="shared" si="2"/>
        <v>0.5000000000000001</v>
      </c>
      <c r="IE12" s="4">
        <f t="shared" si="3"/>
        <v>1.7320508075688767</v>
      </c>
    </row>
    <row r="13" spans="1:239" ht="13.5">
      <c r="A13" s="140"/>
      <c r="B13" s="138" t="s">
        <v>304</v>
      </c>
      <c r="C13" s="138"/>
      <c r="D13" s="138"/>
      <c r="K13" s="80"/>
      <c r="L13" s="96">
        <v>120</v>
      </c>
      <c r="M13" s="79">
        <f>M20</f>
        <v>30</v>
      </c>
      <c r="N13" s="42"/>
      <c r="Q13" s="80"/>
      <c r="R13" s="96">
        <v>0</v>
      </c>
      <c r="S13" s="79">
        <f>S20</f>
      </c>
      <c r="T13" s="42"/>
      <c r="HZ13" s="25"/>
      <c r="IA13" s="25"/>
      <c r="IB13" s="2"/>
      <c r="IC13" s="4"/>
      <c r="ID13" s="4"/>
      <c r="IE13" s="4"/>
    </row>
    <row r="14" spans="1:239" ht="14.25">
      <c r="A14" s="140"/>
      <c r="K14" s="131" t="str">
        <f>CONCATENATE(K,"(K) * cos",M16,"deg")</f>
        <v>1(K) * cos120deg</v>
      </c>
      <c r="L14" s="72" t="s">
        <v>255</v>
      </c>
      <c r="M14" s="73">
        <f>L</f>
        <v>1</v>
      </c>
      <c r="N14" s="42"/>
      <c r="Q14" s="131" t="s">
        <v>354</v>
      </c>
      <c r="R14" s="72" t="s">
        <v>255</v>
      </c>
      <c r="S14" s="73">
        <f>L</f>
        <v>1</v>
      </c>
      <c r="T14" s="42"/>
      <c r="HZ14" s="25">
        <f t="shared" si="0"/>
        <v>0.923879</v>
      </c>
      <c r="IA14" s="25">
        <f t="shared" si="0"/>
        <v>0.382683</v>
      </c>
      <c r="IB14" s="18">
        <v>67.5</v>
      </c>
      <c r="IC14" s="4">
        <f t="shared" si="1"/>
        <v>0.9238795325112867</v>
      </c>
      <c r="ID14" s="4">
        <f t="shared" si="2"/>
        <v>0.38268343236508984</v>
      </c>
      <c r="IE14" s="4">
        <f t="shared" si="3"/>
        <v>2.414213562373095</v>
      </c>
    </row>
    <row r="15" spans="1:239" ht="13.5">
      <c r="A15" s="140"/>
      <c r="B15" s="20" t="s">
        <v>305</v>
      </c>
      <c r="C15">
        <f>COS(A*degrees)</f>
        <v>-0.4999999999999998</v>
      </c>
      <c r="D15">
        <f>COS(120*degrees)</f>
        <v>-0.4999999999999998</v>
      </c>
      <c r="E15" s="107">
        <f>(K*COS(A*degrees)*L*COS(0*degrees)+K*SIN(A*degrees)*L*SIN(0*degrees))/(K*L)</f>
        <v>-0.4999999999999998</v>
      </c>
      <c r="F15" s="77">
        <f>IF(ISERROR(VLOOKUP(G15,$IA$2:$IB$23,2,FALSE)),"",VLOOKUP(G15,$IA$2:$IB$23,2,FALSE))</f>
        <v>120</v>
      </c>
      <c r="G15" s="116">
        <f>TRUNC(E15,6)</f>
        <v>-0.5</v>
      </c>
      <c r="H15" s="32"/>
      <c r="K15" s="131" t="str">
        <f>CONCATENATE("=",K*COS(M16*degrees))</f>
        <v>=-0.5</v>
      </c>
      <c r="L15" s="98"/>
      <c r="M15" s="99" t="s">
        <v>247</v>
      </c>
      <c r="N15" s="42"/>
      <c r="Q15" s="131" t="s">
        <v>355</v>
      </c>
      <c r="R15" s="98"/>
      <c r="S15" s="99" t="s">
        <v>247</v>
      </c>
      <c r="T15" s="42"/>
      <c r="HZ15" s="25">
        <f t="shared" si="0"/>
        <v>0.951056</v>
      </c>
      <c r="IA15" s="25">
        <f t="shared" si="0"/>
        <v>0.309016</v>
      </c>
      <c r="IB15" s="2">
        <v>72</v>
      </c>
      <c r="IC15" s="4">
        <f t="shared" si="1"/>
        <v>0.9510565162951535</v>
      </c>
      <c r="ID15" s="4">
        <f t="shared" si="2"/>
        <v>0.30901699437494745</v>
      </c>
      <c r="IE15" s="4">
        <f t="shared" si="3"/>
        <v>3.0776835371752527</v>
      </c>
    </row>
    <row r="16" spans="1:239" ht="14.25">
      <c r="A16" s="140"/>
      <c r="I16" s="32"/>
      <c r="J16" s="127"/>
      <c r="K16" s="132" t="str">
        <f>CONCATENATE(K*COS(M16*degrees),"*",L,"(L)= ",K*COS(M16*degrees)*L)</f>
        <v>-0.5*1(L)= -0.5</v>
      </c>
      <c r="L16" s="35" t="s">
        <v>251</v>
      </c>
      <c r="M16" s="100">
        <v>120</v>
      </c>
      <c r="N16" s="81" t="s">
        <v>253</v>
      </c>
      <c r="Q16" s="132" t="s">
        <v>356</v>
      </c>
      <c r="R16" s="35" t="s">
        <v>251</v>
      </c>
      <c r="S16" s="100">
        <v>0</v>
      </c>
      <c r="T16" s="81" t="s">
        <v>253</v>
      </c>
      <c r="HZ16" s="25">
        <f t="shared" si="0"/>
        <v>0.965925</v>
      </c>
      <c r="IA16" s="25">
        <f t="shared" si="0"/>
        <v>0.258819</v>
      </c>
      <c r="IB16" s="2">
        <v>75</v>
      </c>
      <c r="IC16" s="4">
        <f t="shared" si="1"/>
        <v>0.9659258262890683</v>
      </c>
      <c r="ID16" s="4">
        <f t="shared" si="2"/>
        <v>0.25881904510252074</v>
      </c>
      <c r="IE16" s="4">
        <f t="shared" si="3"/>
        <v>3.7320508075688776</v>
      </c>
    </row>
    <row r="17" spans="1:239" ht="13.5">
      <c r="A17" s="140"/>
      <c r="E17">
        <f>(B11*D11+B12*D12)/(K*L)</f>
        <v>-0.4999999999999998</v>
      </c>
      <c r="K17" s="44"/>
      <c r="L17" s="34"/>
      <c r="M17" s="33"/>
      <c r="N17" s="42"/>
      <c r="Q17" s="44"/>
      <c r="R17" s="34"/>
      <c r="S17" s="33"/>
      <c r="T17" s="42"/>
      <c r="HZ17" s="25">
        <f t="shared" si="0"/>
        <v>0.999847</v>
      </c>
      <c r="IA17" s="25">
        <f t="shared" si="0"/>
        <v>0.017452</v>
      </c>
      <c r="IB17" s="2">
        <v>89</v>
      </c>
      <c r="IC17" s="4">
        <f t="shared" si="1"/>
        <v>0.9998476951563913</v>
      </c>
      <c r="ID17" s="4">
        <f t="shared" si="2"/>
        <v>0.0174524064372836</v>
      </c>
      <c r="IE17" s="4">
        <f t="shared" si="3"/>
        <v>57.289961630759144</v>
      </c>
    </row>
    <row r="18" spans="1:239" ht="13.5">
      <c r="A18" s="140"/>
      <c r="E18">
        <f>(K*COS(A)*L*COS(A)+K*SIN(A)*L*SIN(A))/(K*L)</f>
        <v>1</v>
      </c>
      <c r="K18" s="44"/>
      <c r="L18" s="32"/>
      <c r="M18" s="35" t="s">
        <v>247</v>
      </c>
      <c r="N18" s="42"/>
      <c r="Q18" s="44"/>
      <c r="R18" s="32"/>
      <c r="S18" s="35" t="s">
        <v>247</v>
      </c>
      <c r="T18" s="42"/>
      <c r="HZ18" s="25">
        <f t="shared" si="0"/>
        <v>1</v>
      </c>
      <c r="IA18" s="25">
        <f t="shared" si="0"/>
        <v>0</v>
      </c>
      <c r="IB18" s="2">
        <v>90</v>
      </c>
      <c r="IC18" s="4">
        <f t="shared" si="1"/>
        <v>1</v>
      </c>
      <c r="ID18" s="4">
        <f>COS($A$1*IB18)</f>
        <v>6.1257422745431E-17</v>
      </c>
      <c r="IE18" s="4"/>
    </row>
    <row r="19" spans="1:20" ht="13.5">
      <c r="A19" s="140"/>
      <c r="C19">
        <f>COS(30*degrees)</f>
        <v>0.8660254037844387</v>
      </c>
      <c r="E19">
        <f>(K*L*COS(T*degrees))/(COS(B*degrees)*COS(T*degrees))</f>
        <v>1.1547005383792515</v>
      </c>
      <c r="K19" s="124" t="s">
        <v>349</v>
      </c>
      <c r="L19" s="125">
        <f>(K^2+L^2-J^2)/(2*K*L)</f>
        <v>-0.4999999999999998</v>
      </c>
      <c r="M19" s="126">
        <f>IF(ISERROR(VLOOKUP(N19,$IA$2:$IB$23,2,FALSE)),"",VLOOKUP(N19,$IA$2:$IB$23,2,FALSE))</f>
        <v>120</v>
      </c>
      <c r="N19" s="63">
        <f>TRUNC(L19,6)</f>
        <v>-0.5</v>
      </c>
      <c r="Q19" s="124" t="s">
        <v>349</v>
      </c>
      <c r="R19" s="125">
        <v>1</v>
      </c>
      <c r="S19" s="126">
        <v>0</v>
      </c>
      <c r="T19" s="63">
        <f>TRUNC(R19,6)</f>
        <v>1</v>
      </c>
    </row>
    <row r="20" spans="1:239" ht="13.5">
      <c r="A20" s="140"/>
      <c r="C20">
        <f>(COS(B*degrees)*COS(T*degrees))/(K*L*COS(T*degrees))</f>
        <v>0.8660254037844387</v>
      </c>
      <c r="K20" s="45" t="s">
        <v>249</v>
      </c>
      <c r="L20" s="48">
        <f>(J^2+L^2-K^2)/(2*J*L)</f>
        <v>0.8660254037844386</v>
      </c>
      <c r="M20" s="77">
        <f>IF(ISERROR(VLOOKUP(N20,$IA$2:$IB$18,2,FALSE)),"",VLOOKUP(N20,$IA$2:$IB$18,2,FALSE))</f>
        <v>30</v>
      </c>
      <c r="N20" s="64">
        <f>TRUNC(L20,6)</f>
        <v>0.866025</v>
      </c>
      <c r="Q20" s="45" t="s">
        <v>249</v>
      </c>
      <c r="R20" s="48" t="e">
        <v>#DIV/0!</v>
      </c>
      <c r="S20" s="77" t="s">
        <v>357</v>
      </c>
      <c r="T20" s="64" t="e">
        <f>TRUNC(R20,6)</f>
        <v>#DIV/0!</v>
      </c>
      <c r="HZ20" s="25">
        <f t="shared" si="0"/>
        <v>0.5</v>
      </c>
      <c r="IA20" s="25">
        <f t="shared" si="0"/>
        <v>0.866025</v>
      </c>
      <c r="IB20" s="19">
        <v>30</v>
      </c>
      <c r="IC20" s="4">
        <f aca="true" t="shared" si="4" ref="IC20:IC25">SIN($A$1*IB20)</f>
        <v>0.49999999999999994</v>
      </c>
      <c r="ID20" s="4">
        <f>COS($A$1*IB20)</f>
        <v>0.8660254037844387</v>
      </c>
      <c r="IE20" s="4">
        <f>TAN($A$1*IB20)</f>
        <v>0.5773502691896257</v>
      </c>
    </row>
    <row r="21" spans="1:239" ht="14.25" thickBot="1">
      <c r="A21" s="140"/>
      <c r="K21" s="46" t="s">
        <v>250</v>
      </c>
      <c r="L21" s="49">
        <f>(J^2+K^2-L^2)/(2*J*K)</f>
        <v>0.8660254037844386</v>
      </c>
      <c r="M21" s="78">
        <f>IF(ISERROR(VLOOKUP(N21,$IA$2:$IB$18,2,FALSE)),"",VLOOKUP(N21,$IA$2:$IB$18,2,FALSE))</f>
        <v>30</v>
      </c>
      <c r="N21" s="65">
        <f>TRUNC(L21,6)</f>
        <v>0.866025</v>
      </c>
      <c r="Q21" s="46" t="s">
        <v>250</v>
      </c>
      <c r="R21" s="49" t="e">
        <v>#DIV/0!</v>
      </c>
      <c r="S21" s="78" t="s">
        <v>357</v>
      </c>
      <c r="T21" s="65" t="e">
        <f>TRUNC(R21,6)</f>
        <v>#DIV/0!</v>
      </c>
      <c r="HZ21" s="25">
        <f t="shared" si="0"/>
        <v>1</v>
      </c>
      <c r="IA21" s="25">
        <f t="shared" si="0"/>
        <v>0</v>
      </c>
      <c r="IB21" s="19">
        <v>90</v>
      </c>
      <c r="IC21" s="4">
        <f t="shared" si="4"/>
        <v>1</v>
      </c>
      <c r="ID21" s="4">
        <f>COS($A$1*IB21)</f>
        <v>6.1257422745431E-17</v>
      </c>
      <c r="IE21" s="4">
        <f>TAN($A$1*IB21)</f>
        <v>16324552277619072</v>
      </c>
    </row>
    <row r="22" spans="5:239" ht="15" thickTop="1">
      <c r="E22" s="106"/>
      <c r="K22" s="130" t="s">
        <v>351</v>
      </c>
      <c r="Q22" s="130" t="s">
        <v>353</v>
      </c>
      <c r="HZ22" s="25">
        <f t="shared" si="0"/>
        <v>0.866025</v>
      </c>
      <c r="IA22" s="25">
        <f t="shared" si="0"/>
        <v>0.5</v>
      </c>
      <c r="IB22" s="21">
        <f>180-(IB20+IB21)</f>
        <v>60</v>
      </c>
      <c r="IC22" s="4">
        <f t="shared" si="4"/>
        <v>0.8660254037844386</v>
      </c>
      <c r="ID22" s="4">
        <f>1*COS($A$1*IB22)</f>
        <v>0.5000000000000001</v>
      </c>
      <c r="IE22" s="4">
        <f>-1*TAN($A$1*IB22)</f>
        <v>-1.7320508075688767</v>
      </c>
    </row>
    <row r="23" spans="234:239" ht="13.5">
      <c r="HZ23" s="25">
        <f t="shared" si="0"/>
        <v>0.866025</v>
      </c>
      <c r="IA23" s="25">
        <f t="shared" si="0"/>
        <v>-0.5</v>
      </c>
      <c r="IB23" s="23">
        <v>120</v>
      </c>
      <c r="IC23" s="4">
        <f t="shared" si="4"/>
        <v>0.8660254037844387</v>
      </c>
      <c r="ID23" s="4">
        <f>COS($A$1*IB23)</f>
        <v>-0.4999999999999998</v>
      </c>
      <c r="IE23" s="4">
        <f>TAN($A$1*IB23)</f>
        <v>-1.7320508075688783</v>
      </c>
    </row>
    <row r="24" spans="2:239" ht="17.25">
      <c r="B24" s="104" t="s">
        <v>299</v>
      </c>
      <c r="C24">
        <f>D24-E24</f>
        <v>1.4999999999999998</v>
      </c>
      <c r="D24">
        <f>L*COS(0*degrees)</f>
        <v>1</v>
      </c>
      <c r="E24">
        <f>L*COS(A*degrees)</f>
        <v>-0.4999999999999998</v>
      </c>
      <c r="HZ24" s="25">
        <f t="shared" si="0"/>
        <v>0.5</v>
      </c>
      <c r="IA24" s="25">
        <f t="shared" si="0"/>
        <v>0.866025</v>
      </c>
      <c r="IB24" s="23">
        <v>30</v>
      </c>
      <c r="IC24" s="4">
        <f t="shared" si="4"/>
        <v>0.49999999999999994</v>
      </c>
      <c r="ID24" s="4">
        <f>COS($A$1*IB24)</f>
        <v>0.8660254037844387</v>
      </c>
      <c r="IE24" s="4">
        <f>TAN($A$1*IB24)</f>
        <v>0.5773502691896257</v>
      </c>
    </row>
    <row r="25" spans="3:239" ht="13.5">
      <c r="C25">
        <f>D25-E25</f>
        <v>-0.8660254037844387</v>
      </c>
      <c r="D25">
        <f>L*SIN(0*degrees)</f>
        <v>0</v>
      </c>
      <c r="E25">
        <f>L*SIN(A*degrees)</f>
        <v>0.8660254037844387</v>
      </c>
      <c r="HZ25" s="25">
        <f t="shared" si="0"/>
        <v>0.5</v>
      </c>
      <c r="IA25" s="25">
        <f t="shared" si="0"/>
        <v>0.866025</v>
      </c>
      <c r="IB25" s="24">
        <f>180-(IB23+IB24)</f>
        <v>30</v>
      </c>
      <c r="IC25" s="4">
        <f t="shared" si="4"/>
        <v>0.49999999999999994</v>
      </c>
      <c r="ID25" s="4">
        <f>COS($A$1*IB25)</f>
        <v>0.8660254037844387</v>
      </c>
      <c r="IE25" s="4">
        <f>TAN($A$1*IB25)</f>
        <v>0.5773502691896257</v>
      </c>
    </row>
    <row r="26" spans="2:234" ht="18" thickBot="1">
      <c r="B26" s="104" t="s">
        <v>308</v>
      </c>
      <c r="C26">
        <f>SQRT(C24^2+C25^2)</f>
        <v>1.732050807568877</v>
      </c>
      <c r="D26" s="93"/>
      <c r="E26" s="93"/>
      <c r="M26" s="93"/>
      <c r="HY26" s="136" t="s">
        <v>259</v>
      </c>
      <c r="HZ26" s="136"/>
    </row>
    <row r="27" ht="15" hidden="1" thickBot="1" thickTop="1"/>
    <row r="28" spans="1:5" ht="15" hidden="1" thickBot="1" thickTop="1">
      <c r="A28" s="137">
        <v>39008</v>
      </c>
      <c r="B28" s="36" t="s">
        <v>236</v>
      </c>
      <c r="C28" s="37">
        <v>1</v>
      </c>
      <c r="D28" s="38"/>
      <c r="E28" s="39"/>
    </row>
    <row r="29" spans="1:5" ht="13.5" hidden="1">
      <c r="A29" s="137"/>
      <c r="B29" s="40" t="s">
        <v>237</v>
      </c>
      <c r="C29" s="30">
        <v>1.902113032590307</v>
      </c>
      <c r="D29" s="31">
        <v>1</v>
      </c>
      <c r="E29" s="41">
        <f>SQRT(G^2+I^2)</f>
        <v>1.902113032590307</v>
      </c>
    </row>
    <row r="30" spans="1:5" ht="13.5" hidden="1">
      <c r="A30" s="137"/>
      <c r="B30" s="40" t="s">
        <v>238</v>
      </c>
      <c r="C30" s="30">
        <f>(SQRT(5)+1)/2</f>
        <v>1.618033988749895</v>
      </c>
      <c r="D30" s="32"/>
      <c r="E30" s="42"/>
    </row>
    <row r="31" spans="1:5" ht="13.5" hidden="1">
      <c r="A31" s="137"/>
      <c r="B31" s="50"/>
      <c r="C31" s="51"/>
      <c r="D31" s="51"/>
      <c r="E31" s="43"/>
    </row>
    <row r="32" spans="1:5" ht="13.5" hidden="1">
      <c r="A32" s="137"/>
      <c r="B32" s="50"/>
      <c r="C32" s="79">
        <f>D41</f>
      </c>
      <c r="D32" s="51"/>
      <c r="E32" s="43"/>
    </row>
    <row r="33" spans="1:5" ht="14.25" hidden="1">
      <c r="A33" s="137"/>
      <c r="B33" s="52" t="s">
        <v>108</v>
      </c>
      <c r="C33" s="70" t="s">
        <v>240</v>
      </c>
      <c r="D33" s="71" t="s">
        <v>239</v>
      </c>
      <c r="E33" s="41">
        <f>SQRT((COS(A)-COS(0))^2+(SIN(A)-SIN(0))^2)</f>
        <v>0.6096212422044334</v>
      </c>
    </row>
    <row r="34" spans="1:5" ht="14.25" hidden="1">
      <c r="A34" s="137"/>
      <c r="B34" s="50"/>
      <c r="C34" s="73">
        <f>E</f>
        <v>1.902113032590307</v>
      </c>
      <c r="E34" s="74">
        <f>D</f>
        <v>1</v>
      </c>
    </row>
    <row r="35" spans="1:5" ht="13.5" hidden="1">
      <c r="A35" s="137"/>
      <c r="B35" s="80">
        <f>D39</f>
      </c>
      <c r="C35" s="51"/>
      <c r="D35" s="79">
        <f>D40</f>
        <v>90</v>
      </c>
      <c r="E35" s="42"/>
    </row>
    <row r="36" spans="1:5" ht="14.25" hidden="1">
      <c r="A36" s="137"/>
      <c r="B36" s="57"/>
      <c r="C36" s="72" t="s">
        <v>241</v>
      </c>
      <c r="D36" s="73">
        <f>F</f>
        <v>1.618033988749895</v>
      </c>
      <c r="E36" s="42"/>
    </row>
    <row r="37" spans="1:5" ht="13.5" hidden="1">
      <c r="A37" s="137"/>
      <c r="B37" s="44"/>
      <c r="C37" s="68" t="s">
        <v>252</v>
      </c>
      <c r="D37" s="33"/>
      <c r="E37" s="42"/>
    </row>
    <row r="38" spans="1:5" ht="13.5" hidden="1">
      <c r="A38" s="137"/>
      <c r="B38" s="44"/>
      <c r="C38" s="32"/>
      <c r="D38" s="61" t="s">
        <v>100</v>
      </c>
      <c r="E38" s="42"/>
    </row>
    <row r="39" spans="1:5" ht="13.5" hidden="1">
      <c r="A39" s="137"/>
      <c r="B39" s="45" t="s">
        <v>113</v>
      </c>
      <c r="C39" s="48">
        <f>(H^2+I^2-G^2)/(2*H*I)</f>
        <v>0.8506508083520399</v>
      </c>
      <c r="D39" s="77">
        <f>IF(ISERROR(VLOOKUP(E39,$IA$2:$IB$18,2,FALSE)),"",VLOOKUP(E39,$IA$2:$IB$18,2,FALSE))</f>
      </c>
      <c r="E39" s="63">
        <f>TRUNC(C39,6)</f>
        <v>0.85065</v>
      </c>
    </row>
    <row r="40" spans="1:5" ht="13.5" hidden="1">
      <c r="A40" s="137"/>
      <c r="B40" s="45" t="s">
        <v>115</v>
      </c>
      <c r="C40" s="48">
        <f>(G^2+I^2-H^2)/(2*G*I)</f>
        <v>1.3723111286221163E-16</v>
      </c>
      <c r="D40" s="77">
        <f>IF(ISERROR(VLOOKUP(E40,$IA$2:$IB$18,2,FALSE)),"",VLOOKUP(E40,$IA$2:$IB$18,2,FALSE))</f>
        <v>90</v>
      </c>
      <c r="E40" s="64">
        <f>TRUNC(C40,6)</f>
        <v>0</v>
      </c>
    </row>
    <row r="41" spans="1:5" ht="14.25" hidden="1" thickBot="1">
      <c r="A41" s="137"/>
      <c r="B41" s="46" t="s">
        <v>116</v>
      </c>
      <c r="C41" s="49">
        <f>(G^2+H^2-I^2)/(2*G*H)</f>
        <v>0.5257311121191336</v>
      </c>
      <c r="D41" s="78">
        <f>IF(ISERROR(VLOOKUP(E41,$IA$2:$IB$18,2,FALSE)),"",VLOOKUP(E41,$IA$2:$IB$18,2,FALSE))</f>
      </c>
      <c r="E41" s="65">
        <f>TRUNC(C41,6)</f>
        <v>0.525731</v>
      </c>
    </row>
    <row r="42" spans="4:5" ht="15" hidden="1" thickBot="1" thickTop="1">
      <c r="D42" s="75"/>
      <c r="E42" s="75"/>
    </row>
    <row r="43" spans="1:14" ht="15" thickTop="1">
      <c r="A43" s="137">
        <v>39046</v>
      </c>
      <c r="B43" s="36" t="s">
        <v>256</v>
      </c>
      <c r="C43" s="82">
        <f>IF(AND(NOT(D53=""),NOT(D43="")),D43,IF(NOT(D53=""),F43,IF(D56=90,E43,D43)))</f>
        <v>1.7320508075688772</v>
      </c>
      <c r="D43" s="31"/>
      <c r="E43" s="41">
        <f>SQRT(K^2+L^2)</f>
        <v>1.4142135623730951</v>
      </c>
      <c r="F43" s="22">
        <f>SQRT(K^2+L^2-2*K*L*COS(D53*degrees))</f>
        <v>1.7320508075688772</v>
      </c>
      <c r="G43" s="136" t="s">
        <v>317</v>
      </c>
      <c r="H43" s="136"/>
      <c r="K43" s="85"/>
      <c r="L43" s="86"/>
      <c r="M43" s="109"/>
      <c r="N43" s="88"/>
    </row>
    <row r="44" spans="1:14" ht="13.5">
      <c r="A44" s="137"/>
      <c r="B44" s="40" t="s">
        <v>257</v>
      </c>
      <c r="C44" s="67">
        <v>1</v>
      </c>
      <c r="D44" s="31">
        <v>1</v>
      </c>
      <c r="E44" s="41">
        <f>SQRT(J^2+L^2)</f>
        <v>2</v>
      </c>
      <c r="K44" s="57"/>
      <c r="L44" s="48"/>
      <c r="M44" s="32"/>
      <c r="N44" s="41"/>
    </row>
    <row r="45" spans="1:14" ht="13.5">
      <c r="A45" s="137"/>
      <c r="B45" s="40" t="s">
        <v>258</v>
      </c>
      <c r="C45" s="133">
        <v>1</v>
      </c>
      <c r="D45" s="31">
        <v>1</v>
      </c>
      <c r="E45" s="41">
        <f>SQRT(J^2+K^2)</f>
        <v>2</v>
      </c>
      <c r="G45" s="90">
        <v>30</v>
      </c>
      <c r="H45" s="90">
        <v>120</v>
      </c>
      <c r="K45" s="57"/>
      <c r="L45" s="90">
        <v>30</v>
      </c>
      <c r="M45" s="90">
        <v>120</v>
      </c>
      <c r="N45" s="43"/>
    </row>
    <row r="46" spans="1:14" ht="13.5">
      <c r="A46" s="137"/>
      <c r="B46" s="50"/>
      <c r="C46" s="51"/>
      <c r="D46" s="51"/>
      <c r="E46" s="43"/>
      <c r="K46" s="50"/>
      <c r="L46" s="32"/>
      <c r="M46" s="32"/>
      <c r="N46" s="43"/>
    </row>
    <row r="47" spans="1:14" ht="13.5">
      <c r="A47" s="137"/>
      <c r="B47" s="50"/>
      <c r="C47" s="79">
        <f>D58</f>
        <v>30</v>
      </c>
      <c r="D47" s="51"/>
      <c r="E47" s="43"/>
      <c r="F47" s="2"/>
      <c r="I47" s="96">
        <v>30</v>
      </c>
      <c r="K47" s="50"/>
      <c r="L47" s="32"/>
      <c r="M47" s="32"/>
      <c r="N47" s="108">
        <v>30</v>
      </c>
    </row>
    <row r="48" spans="1:14" ht="17.25">
      <c r="A48" s="137"/>
      <c r="B48" s="52" t="s">
        <v>245</v>
      </c>
      <c r="C48" s="70" t="s">
        <v>254</v>
      </c>
      <c r="D48" s="105" t="s">
        <v>300</v>
      </c>
      <c r="E48" s="41">
        <f>SQRT((COS(A)-COS(0))^2+(SIN(A)-SIN(0))^2)</f>
        <v>0.6096212422044334</v>
      </c>
      <c r="F48" s="26" t="s">
        <v>246</v>
      </c>
      <c r="G48" s="70" t="s">
        <v>261</v>
      </c>
      <c r="H48" s="71"/>
      <c r="K48" s="52"/>
      <c r="L48" s="70" t="s">
        <v>261</v>
      </c>
      <c r="M48" s="71"/>
      <c r="N48" s="43"/>
    </row>
    <row r="49" spans="1:14" ht="14.25">
      <c r="A49" s="137"/>
      <c r="B49" s="50"/>
      <c r="C49" s="73">
        <f>K</f>
        <v>1</v>
      </c>
      <c r="E49" s="83">
        <f>IF(J="",F43,J)</f>
        <v>1.7320508075688772</v>
      </c>
      <c r="F49" s="50">
        <f>COS(A)</f>
        <v>0.8141809705265618</v>
      </c>
      <c r="G49" s="73"/>
      <c r="H49" s="51"/>
      <c r="K49" s="50"/>
      <c r="L49" s="73"/>
      <c r="M49" s="51"/>
      <c r="N49" s="43"/>
    </row>
    <row r="50" spans="1:17" ht="13.5">
      <c r="A50" s="137"/>
      <c r="B50" s="80">
        <f>D56</f>
        <v>120</v>
      </c>
      <c r="C50" s="51"/>
      <c r="D50" s="79">
        <f>D57</f>
        <v>30</v>
      </c>
      <c r="E50" s="42"/>
      <c r="F50" s="79"/>
      <c r="G50" s="51"/>
      <c r="I50" s="96"/>
      <c r="K50" s="80"/>
      <c r="L50" s="51"/>
      <c r="M50" s="32"/>
      <c r="N50" s="108"/>
      <c r="Q50" t="s">
        <v>311</v>
      </c>
    </row>
    <row r="51" spans="1:14" ht="14.25">
      <c r="A51" s="137"/>
      <c r="B51" s="57"/>
      <c r="C51" s="72" t="s">
        <v>255</v>
      </c>
      <c r="D51" s="73">
        <f>L</f>
        <v>1</v>
      </c>
      <c r="E51" s="42"/>
      <c r="F51" s="79"/>
      <c r="G51" s="72" t="s">
        <v>262</v>
      </c>
      <c r="H51" s="73">
        <v>1.618033988749895</v>
      </c>
      <c r="K51" s="57"/>
      <c r="L51" s="72" t="s">
        <v>262</v>
      </c>
      <c r="M51" s="73">
        <v>1.618033988749895</v>
      </c>
      <c r="N51" s="43"/>
    </row>
    <row r="52" spans="1:19" ht="13.5">
      <c r="A52" s="137"/>
      <c r="B52" s="57"/>
      <c r="C52" s="2"/>
      <c r="D52" s="20" t="s">
        <v>247</v>
      </c>
      <c r="E52" s="42"/>
      <c r="F52" s="2"/>
      <c r="K52" s="57"/>
      <c r="L52" s="32"/>
      <c r="M52" s="32"/>
      <c r="N52" s="43"/>
      <c r="P52" s="114" t="s">
        <v>314</v>
      </c>
      <c r="Q52" s="112">
        <f>x</f>
        <v>1.4999999999999998</v>
      </c>
      <c r="R52" s="112">
        <f>y</f>
        <v>-0.8660254037844387</v>
      </c>
      <c r="S52" t="s">
        <v>315</v>
      </c>
    </row>
    <row r="53" spans="1:18" ht="14.25">
      <c r="A53" s="137"/>
      <c r="B53" s="57"/>
      <c r="C53" s="1" t="s">
        <v>251</v>
      </c>
      <c r="D53" s="76">
        <v>120</v>
      </c>
      <c r="E53" s="81" t="s">
        <v>253</v>
      </c>
      <c r="F53" s="2"/>
      <c r="G53" s="20" t="s">
        <v>320</v>
      </c>
      <c r="H53" s="2">
        <v>1</v>
      </c>
      <c r="K53" s="57"/>
      <c r="L53" s="99" t="s">
        <v>320</v>
      </c>
      <c r="M53" s="98">
        <v>1</v>
      </c>
      <c r="N53" s="43"/>
      <c r="P53" s="114" t="s">
        <v>312</v>
      </c>
      <c r="Q53" s="113">
        <f>L*COS(0*degrees)-L*COS(A*degrees)</f>
        <v>1.4999999999999998</v>
      </c>
      <c r="R53" s="113"/>
    </row>
    <row r="54" spans="1:18" ht="17.25">
      <c r="A54" s="137"/>
      <c r="B54" s="44"/>
      <c r="C54" s="34"/>
      <c r="D54" s="33"/>
      <c r="E54" s="42"/>
      <c r="F54" s="2"/>
      <c r="K54" s="57"/>
      <c r="L54" s="110" t="s">
        <v>299</v>
      </c>
      <c r="M54" s="32">
        <f>x</f>
        <v>1.4999999999999998</v>
      </c>
      <c r="N54" s="41"/>
      <c r="P54" s="114" t="s">
        <v>313</v>
      </c>
      <c r="Q54" s="113"/>
      <c r="R54" s="113">
        <f>L*SIN(0*degrees)-L*SIN(A*degrees)</f>
        <v>-0.8660254037844387</v>
      </c>
    </row>
    <row r="55" spans="1:14" ht="13.5">
      <c r="A55" s="137"/>
      <c r="B55" s="44"/>
      <c r="C55" s="32"/>
      <c r="D55" s="35" t="s">
        <v>247</v>
      </c>
      <c r="E55" s="42"/>
      <c r="F55" s="2"/>
      <c r="K55" s="57"/>
      <c r="L55" s="32"/>
      <c r="M55" s="32">
        <f>y</f>
        <v>-0.8660254037844387</v>
      </c>
      <c r="N55" s="41"/>
    </row>
    <row r="56" spans="1:16" ht="17.25">
      <c r="A56" s="137"/>
      <c r="B56" s="45" t="s">
        <v>248</v>
      </c>
      <c r="C56" s="48">
        <f>(K^2+L^2-J^2)/(2*K*L)</f>
        <v>-0.4999999999999998</v>
      </c>
      <c r="D56" s="77">
        <f>IF(ISERROR(VLOOKUP(E56,$IA$2:$IB$23,2,FALSE)),"",VLOOKUP(E56,$IA$2:$IB$23,2,FALSE))</f>
        <v>120</v>
      </c>
      <c r="E56" s="63">
        <f>TRUNC(C56,6)</f>
        <v>-0.5</v>
      </c>
      <c r="F56" s="2"/>
      <c r="G56" s="20" t="s">
        <v>297</v>
      </c>
      <c r="H56">
        <f>J/($H$53*2)</f>
        <v>0.8660254037844386</v>
      </c>
      <c r="I56" s="77">
        <f>IF(ISERROR(VLOOKUP(J56,$HZ$2:$IB$18,3,FALSE)),"",VLOOKUP(J56,$HZ$2:$IB$18,3,FALSE))</f>
        <v>60</v>
      </c>
      <c r="J56" s="63">
        <f>TRUNC(H56,6)</f>
        <v>0.866025</v>
      </c>
      <c r="K56" s="89"/>
      <c r="L56" s="110" t="s">
        <v>308</v>
      </c>
      <c r="M56" s="32">
        <f>SQRT(x^2+y^2)</f>
        <v>1.732050807568877</v>
      </c>
      <c r="N56" s="91"/>
      <c r="O56" s="110" t="s">
        <v>316</v>
      </c>
      <c r="P56" s="115" t="s">
        <v>325</v>
      </c>
    </row>
    <row r="57" spans="1:15" ht="13.5">
      <c r="A57" s="137"/>
      <c r="B57" s="45" t="s">
        <v>249</v>
      </c>
      <c r="C57" s="48">
        <f>(J^2+L^2-K^2)/(2*J*L)</f>
        <v>0.8660254037844386</v>
      </c>
      <c r="D57" s="77">
        <f>IF(ISERROR(VLOOKUP(E57,$IA$2:$IB$18,2,FALSE)),"",VLOOKUP(E57,$IA$2:$IB$18,2,FALSE))</f>
        <v>30</v>
      </c>
      <c r="E57" s="64">
        <f>TRUNC(C57,6)</f>
        <v>0.866025</v>
      </c>
      <c r="F57" s="67">
        <f>COS(B*degrees)</f>
        <v>0.8660254037844387</v>
      </c>
      <c r="G57" s="20" t="s">
        <v>4</v>
      </c>
      <c r="H57">
        <f>K/($H$53*2)</f>
        <v>0.5</v>
      </c>
      <c r="I57" s="77">
        <f>IF(ISERROR(VLOOKUP(J57,$HZ$2:$IB$18,3,FALSE)),"",VLOOKUP(J57,$HZ$2:$IB$18,3,FALSE))</f>
        <v>30</v>
      </c>
      <c r="J57" s="64">
        <f>TRUNC(H57,6)</f>
        <v>0.5</v>
      </c>
      <c r="K57" s="89"/>
      <c r="L57" s="48"/>
      <c r="M57" s="32">
        <f>2*SQRT((2*SIN(B*degrees))^2-(2*SIN(B*degrees)*SIN(B*degrees))^2)</f>
        <v>1.7320508075688772</v>
      </c>
      <c r="N57" s="43">
        <f>2*SQRT(2*(SIN(B*degrees))^2*(1-COS(A*degrees)))</f>
        <v>1.732050807568877</v>
      </c>
      <c r="O57" t="s">
        <v>309</v>
      </c>
    </row>
    <row r="58" spans="1:15" ht="14.25" thickBot="1">
      <c r="A58" s="137"/>
      <c r="B58" s="46" t="s">
        <v>250</v>
      </c>
      <c r="C58" s="49">
        <f>(J^2+K^2-L^2)/(2*J*K)</f>
        <v>0.8660254037844386</v>
      </c>
      <c r="D58" s="78">
        <f>IF(ISERROR(VLOOKUP(E58,$IA$2:$IB$18,2,FALSE)),"",VLOOKUP(E58,$IA$2:$IB$18,2,FALSE))</f>
        <v>30</v>
      </c>
      <c r="E58" s="65">
        <f>TRUNC(C58,6)</f>
        <v>0.866025</v>
      </c>
      <c r="F58" s="67">
        <f>COS(T*degrees)</f>
        <v>0.8660254037844387</v>
      </c>
      <c r="G58" s="20" t="s">
        <v>298</v>
      </c>
      <c r="H58">
        <f>L/($H$53*2)</f>
        <v>0.5</v>
      </c>
      <c r="I58" s="77">
        <f>IF(ISERROR(VLOOKUP(J58,$HZ$2:$IB$18,3,FALSE)),"",VLOOKUP(J58,$HZ$2:$IB$18,3,FALSE))</f>
        <v>30</v>
      </c>
      <c r="J58" s="101">
        <f>TRUNC(H58,6)</f>
        <v>0.5</v>
      </c>
      <c r="K58" s="92"/>
      <c r="L58" s="49"/>
      <c r="M58" s="93">
        <f>2*SQRT(K^2-(K*SIN(B*degrees))^2)</f>
        <v>1.7320508075688772</v>
      </c>
      <c r="N58" s="111">
        <f>2*SQRT(2*((1/2)*K)^2*(1-COS(A*degrees)))</f>
        <v>1.7320508075688772</v>
      </c>
      <c r="O58" t="s">
        <v>310</v>
      </c>
    </row>
    <row r="59" spans="7:13" ht="15" thickTop="1">
      <c r="G59" s="138" t="s">
        <v>323</v>
      </c>
      <c r="H59" s="138"/>
      <c r="I59" s="115" t="s">
        <v>324</v>
      </c>
      <c r="L59" s="138"/>
      <c r="M59" s="138"/>
    </row>
    <row r="60" spans="4:5" ht="13.5">
      <c r="D60" s="32"/>
      <c r="E60" s="32"/>
    </row>
    <row r="61" spans="4:5" ht="14.25" thickBot="1">
      <c r="D61" s="93"/>
      <c r="E61" s="93"/>
    </row>
    <row r="62" spans="1:14" ht="14.25" thickTop="1">
      <c r="A62" s="137">
        <v>39011</v>
      </c>
      <c r="B62" s="36" t="s">
        <v>270</v>
      </c>
      <c r="C62" s="82">
        <f>IF(AND(NOT(D72=""),NOT(D62="")),D62,IF(NOT(D72=""),F62,IF(D75=90,E62,D62)))</f>
        <v>1.902113032590307</v>
      </c>
      <c r="D62" s="31"/>
      <c r="E62" s="41">
        <f>SQRT(N^2+O^2)</f>
        <v>2.23606797749979</v>
      </c>
      <c r="F62" s="22">
        <f>SQRT(N^2+O^2-2*N*O*COS($A$1*D72))</f>
        <v>1.902113032590307</v>
      </c>
      <c r="K62" s="36" t="s">
        <v>269</v>
      </c>
      <c r="L62" s="82">
        <v>1.902113032590307</v>
      </c>
      <c r="M62" s="87"/>
      <c r="N62" s="88"/>
    </row>
    <row r="63" spans="1:14" ht="13.5">
      <c r="A63" s="137"/>
      <c r="B63" s="40" t="s">
        <v>272</v>
      </c>
      <c r="C63" s="67">
        <v>1.1755705045849463</v>
      </c>
      <c r="D63" s="31">
        <f>SIN($A$1*36)*2</f>
        <v>1.1755705045849463</v>
      </c>
      <c r="E63" s="41">
        <f>SQRT(M^2+O^2)</f>
        <v>2.689994047855829</v>
      </c>
      <c r="K63" s="40" t="s">
        <v>271</v>
      </c>
      <c r="L63" s="67">
        <v>1.1755705045849463</v>
      </c>
      <c r="M63" s="31">
        <v>1.1755705045849463</v>
      </c>
      <c r="N63" s="41"/>
    </row>
    <row r="64" spans="1:14" ht="13.5">
      <c r="A64" s="137"/>
      <c r="B64" s="40" t="s">
        <v>274</v>
      </c>
      <c r="C64" s="48">
        <v>1.902113032590307</v>
      </c>
      <c r="D64" s="31">
        <f>COS(A1*18)*2</f>
        <v>1.902113032590307</v>
      </c>
      <c r="E64" s="41">
        <f>SQRT(M^2+N^2)</f>
        <v>2.23606797749979</v>
      </c>
      <c r="K64" s="40" t="s">
        <v>273</v>
      </c>
      <c r="L64" s="48">
        <v>1.902113032590307</v>
      </c>
      <c r="M64" s="31">
        <v>1.902113032590307</v>
      </c>
      <c r="N64" s="41"/>
    </row>
    <row r="65" spans="1:14" ht="13.5">
      <c r="A65" s="137"/>
      <c r="B65" s="50"/>
      <c r="C65" s="51"/>
      <c r="D65" s="51"/>
      <c r="E65" s="43"/>
      <c r="K65" s="50"/>
      <c r="L65" s="51"/>
      <c r="M65" s="51"/>
      <c r="N65" s="43"/>
    </row>
    <row r="66" spans="1:14" ht="13.5">
      <c r="A66" s="137"/>
      <c r="B66" s="50"/>
      <c r="C66" s="79">
        <f>D77</f>
        <v>72</v>
      </c>
      <c r="D66" s="51"/>
      <c r="E66" s="43"/>
      <c r="F66" s="2"/>
      <c r="I66" s="96">
        <v>72</v>
      </c>
      <c r="K66" s="50"/>
      <c r="L66" s="79">
        <v>72</v>
      </c>
      <c r="M66" s="51"/>
      <c r="N66" s="43"/>
    </row>
    <row r="67" spans="1:14" ht="14.25">
      <c r="A67" s="137"/>
      <c r="B67" s="52" t="s">
        <v>245</v>
      </c>
      <c r="C67" s="70" t="s">
        <v>278</v>
      </c>
      <c r="D67" s="71" t="s">
        <v>276</v>
      </c>
      <c r="E67" s="41">
        <f>SQRT((COS(A)-COS(0))^2+(SIN(A)-SIN(0))^2)</f>
        <v>0.6096212422044334</v>
      </c>
      <c r="F67" s="26" t="s">
        <v>246</v>
      </c>
      <c r="G67" s="70" t="s">
        <v>261</v>
      </c>
      <c r="H67" s="71"/>
      <c r="K67" s="52" t="s">
        <v>260</v>
      </c>
      <c r="L67" s="70" t="s">
        <v>277</v>
      </c>
      <c r="M67" s="71" t="s">
        <v>275</v>
      </c>
      <c r="N67" s="41">
        <v>0.9739286503401029</v>
      </c>
    </row>
    <row r="68" spans="1:14" ht="14.25">
      <c r="A68" s="137"/>
      <c r="B68" s="50"/>
      <c r="C68" s="73">
        <f>N</f>
        <v>1.1755705045849463</v>
      </c>
      <c r="E68" s="83">
        <f>IF(M="",F62,M)</f>
        <v>1.902113032590307</v>
      </c>
      <c r="F68" s="50">
        <f>COS(A)</f>
        <v>0.8141809705265618</v>
      </c>
      <c r="G68" s="73"/>
      <c r="H68" s="51"/>
      <c r="K68" s="50"/>
      <c r="L68" s="73">
        <v>1.1755705045849463</v>
      </c>
      <c r="N68" s="84">
        <v>1.902113032590307</v>
      </c>
    </row>
    <row r="69" spans="1:14" ht="13.5">
      <c r="A69" s="137"/>
      <c r="B69" s="80">
        <f>D75</f>
        <v>72</v>
      </c>
      <c r="C69" s="51"/>
      <c r="D69" s="79">
        <f>D76</f>
        <v>36</v>
      </c>
      <c r="E69" s="42"/>
      <c r="F69" s="79">
        <v>72</v>
      </c>
      <c r="G69" s="51"/>
      <c r="I69" s="96">
        <v>36</v>
      </c>
      <c r="K69" s="80">
        <v>72</v>
      </c>
      <c r="L69" s="51"/>
      <c r="M69" s="79">
        <v>36</v>
      </c>
      <c r="N69" s="42"/>
    </row>
    <row r="70" spans="1:14" ht="14.25">
      <c r="A70" s="137"/>
      <c r="B70" s="57"/>
      <c r="C70" s="72" t="s">
        <v>280</v>
      </c>
      <c r="D70" s="73">
        <f>O</f>
        <v>1.902113032590307</v>
      </c>
      <c r="E70" s="42"/>
      <c r="F70" s="79"/>
      <c r="G70" s="72" t="s">
        <v>262</v>
      </c>
      <c r="H70" s="73">
        <v>1.618033988749895</v>
      </c>
      <c r="K70" s="57"/>
      <c r="L70" s="72" t="s">
        <v>279</v>
      </c>
      <c r="M70" s="73">
        <v>1.902113032590307</v>
      </c>
      <c r="N70" s="42"/>
    </row>
    <row r="71" spans="1:14" ht="13.5">
      <c r="A71" s="137"/>
      <c r="B71" s="57"/>
      <c r="C71" s="2"/>
      <c r="D71" s="20" t="s">
        <v>247</v>
      </c>
      <c r="E71" s="42"/>
      <c r="F71" s="2"/>
      <c r="K71" s="57"/>
      <c r="L71" s="2"/>
      <c r="M71" s="20" t="s">
        <v>263</v>
      </c>
      <c r="N71" s="42"/>
    </row>
    <row r="72" spans="1:14" ht="14.25">
      <c r="A72" s="137"/>
      <c r="B72" s="57"/>
      <c r="C72" s="1" t="s">
        <v>251</v>
      </c>
      <c r="D72" s="76">
        <v>72</v>
      </c>
      <c r="E72" s="81" t="s">
        <v>253</v>
      </c>
      <c r="F72" s="2"/>
      <c r="G72" s="20" t="s">
        <v>296</v>
      </c>
      <c r="H72" s="2">
        <f>(M*N)/(N*SIN($A$1*72))</f>
        <v>2</v>
      </c>
      <c r="K72" s="57"/>
      <c r="L72" s="1" t="s">
        <v>264</v>
      </c>
      <c r="M72" s="76">
        <v>72</v>
      </c>
      <c r="N72" s="41"/>
    </row>
    <row r="73" spans="1:14" ht="13.5">
      <c r="A73" s="137"/>
      <c r="B73" s="44"/>
      <c r="C73" s="34"/>
      <c r="D73" s="33"/>
      <c r="E73" s="42"/>
      <c r="F73" s="2"/>
      <c r="K73" s="44"/>
      <c r="L73" s="34"/>
      <c r="M73" s="33"/>
      <c r="N73" s="42"/>
    </row>
    <row r="74" spans="1:14" ht="13.5">
      <c r="A74" s="137"/>
      <c r="B74" s="44"/>
      <c r="C74" s="32"/>
      <c r="D74" s="35" t="s">
        <v>247</v>
      </c>
      <c r="E74" s="42"/>
      <c r="F74" s="2"/>
      <c r="K74" s="44"/>
      <c r="L74" s="32"/>
      <c r="M74" s="35" t="s">
        <v>263</v>
      </c>
      <c r="N74" s="42"/>
    </row>
    <row r="75" spans="1:14" ht="13.5">
      <c r="A75" s="137"/>
      <c r="B75" s="45" t="s">
        <v>248</v>
      </c>
      <c r="C75" s="48">
        <f>(N^2+O^2-M^2)/(2*N*O)</f>
        <v>0.3090169943749475</v>
      </c>
      <c r="D75" s="77">
        <f>IF(ISERROR(VLOOKUP(E75,$IA$2:$IB$18,2,FALSE)),"",VLOOKUP(E75,$IA$2:$IB$18,2,FALSE))</f>
        <v>72</v>
      </c>
      <c r="E75" s="63">
        <f>TRUNC(C75,6)</f>
        <v>0.309016</v>
      </c>
      <c r="F75" s="2"/>
      <c r="G75" s="20" t="s">
        <v>297</v>
      </c>
      <c r="H75">
        <f>M/$H$72</f>
        <v>0.9510565162951535</v>
      </c>
      <c r="I75" s="77">
        <f>IF(ISERROR(VLOOKUP(J75,$HZ$2:$IB$18,3,FALSE)),"",VLOOKUP(J75,$HZ$2:$IB$18,3,FALSE))</f>
        <v>72</v>
      </c>
      <c r="J75" s="63">
        <f>TRUNC(H75,6)</f>
        <v>0.951056</v>
      </c>
      <c r="K75" s="45" t="s">
        <v>265</v>
      </c>
      <c r="L75" s="48">
        <v>0.3090169943749475</v>
      </c>
      <c r="M75" s="77">
        <v>72</v>
      </c>
      <c r="N75" s="63">
        <v>0.309016</v>
      </c>
    </row>
    <row r="76" spans="1:14" ht="13.5">
      <c r="A76" s="137"/>
      <c r="B76" s="45" t="s">
        <v>249</v>
      </c>
      <c r="C76" s="48">
        <f>(M^2+O^2-N^2)/(2*M*O)</f>
        <v>0.8090169943749475</v>
      </c>
      <c r="D76" s="77">
        <f>IF(ISERROR(VLOOKUP(E76,$IA$2:$IB$18,2,FALSE)),"",VLOOKUP(E76,$IA$2:$IB$18,2,FALSE))</f>
        <v>36</v>
      </c>
      <c r="E76" s="64">
        <f>TRUNC(C76,6)</f>
        <v>0.809016</v>
      </c>
      <c r="F76" s="2"/>
      <c r="G76" s="20" t="s">
        <v>4</v>
      </c>
      <c r="H76">
        <f>N/$H$72</f>
        <v>0.5877852522924731</v>
      </c>
      <c r="I76" s="77">
        <f>IF(ISERROR(VLOOKUP(J76,$HZ$2:$IB$18,3,FALSE)),"",VLOOKUP(J76,$HZ$2:$IB$18,3,FALSE))</f>
        <v>36</v>
      </c>
      <c r="J76" s="64">
        <f>TRUNC(H76,6)</f>
        <v>0.587785</v>
      </c>
      <c r="K76" s="45" t="s">
        <v>266</v>
      </c>
      <c r="L76" s="48">
        <v>0.8090169943749475</v>
      </c>
      <c r="M76" s="77">
        <v>36</v>
      </c>
      <c r="N76" s="64">
        <v>0.809016</v>
      </c>
    </row>
    <row r="77" spans="1:14" ht="14.25" thickBot="1">
      <c r="A77" s="137"/>
      <c r="B77" s="46" t="s">
        <v>250</v>
      </c>
      <c r="C77" s="49">
        <f>(M^2+N^2-O^2)/(2*M*N)</f>
        <v>0.3090169943749475</v>
      </c>
      <c r="D77" s="78">
        <f>IF(ISERROR(VLOOKUP(E77,$IA$2:$IB$18,2,FALSE)),"",VLOOKUP(E77,$IA$2:$IB$18,2,FALSE))</f>
        <v>72</v>
      </c>
      <c r="E77" s="65">
        <f>TRUNC(C77,6)</f>
        <v>0.309016</v>
      </c>
      <c r="F77" s="2"/>
      <c r="G77" s="20" t="s">
        <v>298</v>
      </c>
      <c r="H77">
        <f>O/$H$72</f>
        <v>0.9510565162951535</v>
      </c>
      <c r="I77" s="77">
        <f>IF(ISERROR(VLOOKUP(J77,$HZ$2:$IB$18,3,FALSE)),"",VLOOKUP(J77,$HZ$2:$IB$18,3,FALSE))</f>
        <v>72</v>
      </c>
      <c r="J77" s="101">
        <f>TRUNC(H77,6)</f>
        <v>0.951056</v>
      </c>
      <c r="K77" s="46" t="s">
        <v>267</v>
      </c>
      <c r="L77" s="49">
        <v>0.3090169943749475</v>
      </c>
      <c r="M77" s="78">
        <v>72</v>
      </c>
      <c r="N77" s="65">
        <v>0.309016</v>
      </c>
    </row>
    <row r="78" spans="12:13" ht="14.25" thickTop="1">
      <c r="L78" s="138" t="s">
        <v>268</v>
      </c>
      <c r="M78" s="138"/>
    </row>
    <row r="79" spans="4:5" ht="13.5">
      <c r="D79" s="32"/>
      <c r="E79" s="32"/>
    </row>
    <row r="80" spans="4:5" ht="14.25" thickBot="1">
      <c r="D80" s="93"/>
      <c r="E80" s="93"/>
    </row>
    <row r="81" spans="1:14" ht="14.25" thickTop="1">
      <c r="A81" s="137">
        <v>39012</v>
      </c>
      <c r="B81" s="36" t="s">
        <v>282</v>
      </c>
      <c r="C81" s="82">
        <f>IF(AND(NOT(D91=""),NOT(D81="")),D81,IF(NOT(D91=""),F81,IF(D94=90,E81,D81)))</f>
        <v>1.618033988749895</v>
      </c>
      <c r="D81" s="31"/>
      <c r="E81" s="41">
        <f>SQRT(S^2+Q^2)</f>
        <v>1.902113032590307</v>
      </c>
      <c r="F81" s="22">
        <f>SQRT(Q^2+S^2-2*Q*S*COS($A$1*D91))</f>
        <v>1.618033988749895</v>
      </c>
      <c r="K81" s="36" t="s">
        <v>281</v>
      </c>
      <c r="L81" s="82">
        <v>1.618033988749895</v>
      </c>
      <c r="M81" s="97"/>
      <c r="N81" s="88"/>
    </row>
    <row r="82" spans="1:14" ht="13.5">
      <c r="A82" s="137"/>
      <c r="B82" s="40" t="s">
        <v>284</v>
      </c>
      <c r="C82" s="67">
        <v>1.618033988749895</v>
      </c>
      <c r="D82" s="31">
        <f>COS($A$1*36)*2</f>
        <v>1.618033988749895</v>
      </c>
      <c r="E82" s="41">
        <f>SQRT(P^2+S^2)</f>
        <v>1.902113032590307</v>
      </c>
      <c r="I82" s="95"/>
      <c r="K82" s="40" t="s">
        <v>283</v>
      </c>
      <c r="L82" s="67">
        <v>1.618033988749895</v>
      </c>
      <c r="M82" s="31">
        <v>1.618033988749895</v>
      </c>
      <c r="N82" s="41"/>
    </row>
    <row r="83" spans="1:14" ht="13.5">
      <c r="A83" s="137"/>
      <c r="B83" s="40" t="s">
        <v>286</v>
      </c>
      <c r="C83" s="48">
        <v>1</v>
      </c>
      <c r="D83" s="31">
        <v>1</v>
      </c>
      <c r="E83" s="102">
        <f>SQRT(P^2+Q^2)</f>
        <v>2.288245611270737</v>
      </c>
      <c r="H83" s="96">
        <v>36</v>
      </c>
      <c r="K83" s="40" t="s">
        <v>285</v>
      </c>
      <c r="L83" s="48">
        <v>1</v>
      </c>
      <c r="M83" s="31">
        <v>1</v>
      </c>
      <c r="N83" s="41"/>
    </row>
    <row r="84" spans="1:14" ht="13.5">
      <c r="A84" s="137"/>
      <c r="B84" s="50"/>
      <c r="C84" s="51"/>
      <c r="D84" s="51"/>
      <c r="E84" s="43"/>
      <c r="I84" s="95" t="s">
        <v>294</v>
      </c>
      <c r="K84" s="50"/>
      <c r="L84" s="51"/>
      <c r="M84" s="51"/>
      <c r="N84" s="43"/>
    </row>
    <row r="85" spans="1:14" ht="13.5">
      <c r="A85" s="137"/>
      <c r="B85" s="50"/>
      <c r="C85" s="79">
        <f>D96</f>
        <v>36</v>
      </c>
      <c r="D85" s="51"/>
      <c r="E85" s="43"/>
      <c r="F85" s="2"/>
      <c r="K85" s="50"/>
      <c r="L85" s="79">
        <v>36</v>
      </c>
      <c r="M85" s="51"/>
      <c r="N85" s="43"/>
    </row>
    <row r="86" spans="1:14" ht="14.25">
      <c r="A86" s="137"/>
      <c r="B86" s="52" t="s">
        <v>245</v>
      </c>
      <c r="C86" s="70" t="s">
        <v>290</v>
      </c>
      <c r="D86" s="71" t="s">
        <v>288</v>
      </c>
      <c r="E86" s="41">
        <f>SQRT((COS(A)-COS(0))^2+(SIN(A)-SIN(0))^2)</f>
        <v>0.6096212422044334</v>
      </c>
      <c r="F86" s="26" t="s">
        <v>246</v>
      </c>
      <c r="G86" s="70" t="s">
        <v>261</v>
      </c>
      <c r="H86" s="71"/>
      <c r="K86" s="52" t="s">
        <v>260</v>
      </c>
      <c r="L86" s="70" t="s">
        <v>289</v>
      </c>
      <c r="M86" s="71" t="s">
        <v>287</v>
      </c>
      <c r="N86" s="41">
        <v>0.9739286503401029</v>
      </c>
    </row>
    <row r="87" spans="1:14" ht="14.25">
      <c r="A87" s="137"/>
      <c r="B87" s="50"/>
      <c r="C87" s="73">
        <f>Q</f>
        <v>1.618033988749895</v>
      </c>
      <c r="E87" s="83">
        <f>IF(P="",F81,P)</f>
        <v>1.618033988749895</v>
      </c>
      <c r="F87" s="50">
        <f>COS(A)</f>
        <v>0.8141809705265618</v>
      </c>
      <c r="G87" s="73"/>
      <c r="H87" s="51"/>
      <c r="K87" s="50"/>
      <c r="L87" s="73">
        <v>1.618033988749895</v>
      </c>
      <c r="M87" s="32"/>
      <c r="N87" s="84">
        <v>1.618033988749895</v>
      </c>
    </row>
    <row r="88" spans="1:14" ht="13.5">
      <c r="A88" s="137"/>
      <c r="B88" s="80">
        <f>D94</f>
        <v>72</v>
      </c>
      <c r="C88" s="51"/>
      <c r="D88" s="79">
        <f>D95</f>
        <v>72</v>
      </c>
      <c r="E88" s="42"/>
      <c r="F88" s="79"/>
      <c r="G88" s="51"/>
      <c r="I88" s="96"/>
      <c r="K88" s="80">
        <v>72</v>
      </c>
      <c r="L88" s="51"/>
      <c r="M88" s="79">
        <v>72</v>
      </c>
      <c r="N88" s="42"/>
    </row>
    <row r="89" spans="1:14" ht="14.25">
      <c r="A89" s="137"/>
      <c r="B89" s="57"/>
      <c r="C89" s="72" t="s">
        <v>292</v>
      </c>
      <c r="D89" s="73">
        <f>S</f>
        <v>1</v>
      </c>
      <c r="E89" s="42"/>
      <c r="F89" s="79">
        <v>72</v>
      </c>
      <c r="G89" s="72" t="s">
        <v>262</v>
      </c>
      <c r="H89" s="73">
        <v>1.618033988749895</v>
      </c>
      <c r="I89" s="96">
        <v>72</v>
      </c>
      <c r="K89" s="57"/>
      <c r="L89" s="72" t="s">
        <v>291</v>
      </c>
      <c r="M89" s="73">
        <v>1</v>
      </c>
      <c r="N89" s="42"/>
    </row>
    <row r="90" spans="1:14" ht="13.5">
      <c r="A90" s="137"/>
      <c r="B90" s="57"/>
      <c r="C90" s="2"/>
      <c r="D90" s="20" t="s">
        <v>247</v>
      </c>
      <c r="E90" s="42"/>
      <c r="F90" s="2"/>
      <c r="I90" s="95" t="s">
        <v>295</v>
      </c>
      <c r="K90" s="57"/>
      <c r="L90" s="98"/>
      <c r="M90" s="99" t="s">
        <v>263</v>
      </c>
      <c r="N90" s="42"/>
    </row>
    <row r="91" spans="1:14" ht="14.25">
      <c r="A91" s="137"/>
      <c r="B91" s="57"/>
      <c r="C91" s="1" t="s">
        <v>251</v>
      </c>
      <c r="D91" s="76">
        <v>72</v>
      </c>
      <c r="E91" s="81" t="s">
        <v>253</v>
      </c>
      <c r="F91" s="2"/>
      <c r="G91" s="20" t="s">
        <v>296</v>
      </c>
      <c r="H91" s="2">
        <f>(P*Q)/(Q*SIN($A$1*72))</f>
        <v>1.7013016167040798</v>
      </c>
      <c r="K91" s="57"/>
      <c r="L91" s="35" t="s">
        <v>264</v>
      </c>
      <c r="M91" s="100">
        <v>72</v>
      </c>
      <c r="N91" s="41"/>
    </row>
    <row r="92" spans="1:14" ht="13.5">
      <c r="A92" s="137"/>
      <c r="B92" s="44"/>
      <c r="C92" s="34"/>
      <c r="D92" s="33"/>
      <c r="E92" s="42"/>
      <c r="F92" s="2"/>
      <c r="G92" s="138" t="s">
        <v>293</v>
      </c>
      <c r="H92" s="138"/>
      <c r="K92" s="44"/>
      <c r="L92" s="34"/>
      <c r="M92" s="33"/>
      <c r="N92" s="42"/>
    </row>
    <row r="93" spans="1:14" ht="13.5">
      <c r="A93" s="137"/>
      <c r="B93" s="44"/>
      <c r="C93" s="32"/>
      <c r="D93" s="35" t="s">
        <v>247</v>
      </c>
      <c r="E93" s="42"/>
      <c r="F93" s="2"/>
      <c r="K93" s="44"/>
      <c r="L93" s="32"/>
      <c r="M93" s="35" t="s">
        <v>263</v>
      </c>
      <c r="N93" s="42"/>
    </row>
    <row r="94" spans="1:14" ht="13.5">
      <c r="A94" s="137"/>
      <c r="B94" s="45" t="s">
        <v>248</v>
      </c>
      <c r="C94" s="48">
        <f>(Q^2+S^2-P^2)/(2*Q*S)</f>
        <v>0.3090169943749474</v>
      </c>
      <c r="D94" s="77">
        <f>IF(ISERROR(VLOOKUP(E94,$IA$2:$IB$18,2,FALSE)),"",VLOOKUP(E94,$IA$2:$IB$18,2,FALSE))</f>
        <v>72</v>
      </c>
      <c r="E94" s="63">
        <f>TRUNC(C94,6)</f>
        <v>0.309016</v>
      </c>
      <c r="F94" s="2"/>
      <c r="K94" s="45" t="s">
        <v>265</v>
      </c>
      <c r="L94" s="48">
        <v>0.3090169943749474</v>
      </c>
      <c r="M94" s="77">
        <v>72</v>
      </c>
      <c r="N94" s="63">
        <v>0.309016</v>
      </c>
    </row>
    <row r="95" spans="1:14" ht="13.5">
      <c r="A95" s="137"/>
      <c r="B95" s="45" t="s">
        <v>249</v>
      </c>
      <c r="C95" s="48">
        <f>(P^2+S^2-Q^2)/(2*P*S)</f>
        <v>0.3090169943749474</v>
      </c>
      <c r="D95" s="77">
        <f>IF(ISERROR(VLOOKUP(E95,$IA$2:$IB$18,2,FALSE)),"",VLOOKUP(E95,$IA$2:$IB$18,2,FALSE))</f>
        <v>72</v>
      </c>
      <c r="E95" s="64">
        <f>TRUNC(C95,6)</f>
        <v>0.309016</v>
      </c>
      <c r="F95" s="2"/>
      <c r="K95" s="45" t="s">
        <v>266</v>
      </c>
      <c r="L95" s="48">
        <v>0.3090169943749474</v>
      </c>
      <c r="M95" s="77">
        <v>72</v>
      </c>
      <c r="N95" s="64">
        <v>0.309016</v>
      </c>
    </row>
    <row r="96" spans="1:14" ht="14.25" thickBot="1">
      <c r="A96" s="137"/>
      <c r="B96" s="46" t="s">
        <v>250</v>
      </c>
      <c r="C96" s="49">
        <f>(P^2+Q^2-S^2)/(2*P*Q)</f>
        <v>0.8090169943749475</v>
      </c>
      <c r="D96" s="78">
        <f>IF(ISERROR(VLOOKUP(E96,$IA$2:$IB$18,2,FALSE)),"",VLOOKUP(E96,$IA$2:$IB$18,2,FALSE))</f>
        <v>36</v>
      </c>
      <c r="E96" s="65">
        <f>TRUNC(C96,6)</f>
        <v>0.809016</v>
      </c>
      <c r="F96" s="2"/>
      <c r="K96" s="46" t="s">
        <v>267</v>
      </c>
      <c r="L96" s="49">
        <v>0.8090169943749475</v>
      </c>
      <c r="M96" s="78">
        <v>36</v>
      </c>
      <c r="N96" s="65">
        <v>0.809016</v>
      </c>
    </row>
    <row r="97" spans="12:13" ht="14.25" thickTop="1">
      <c r="L97" s="138" t="s">
        <v>268</v>
      </c>
      <c r="M97" s="138"/>
    </row>
  </sheetData>
  <sheetProtection password="C290" sheet="1" objects="1" scenarios="1"/>
  <mergeCells count="13">
    <mergeCell ref="B13:D13"/>
    <mergeCell ref="A81:A96"/>
    <mergeCell ref="L97:M97"/>
    <mergeCell ref="G92:H92"/>
    <mergeCell ref="A62:A77"/>
    <mergeCell ref="L78:M78"/>
    <mergeCell ref="L59:M59"/>
    <mergeCell ref="A6:A21"/>
    <mergeCell ref="HY26:HZ26"/>
    <mergeCell ref="A43:A58"/>
    <mergeCell ref="A28:A41"/>
    <mergeCell ref="G59:H59"/>
    <mergeCell ref="G43:H43"/>
  </mergeCells>
  <conditionalFormatting sqref="E33 F48:F49 E48 N86 N67 E67 F86:F87 F67:F68 E86 N11 T11">
    <cfRule type="expression" priority="1" dxfId="3" stopIfTrue="1">
      <formula>NOT(AND(E=1,F=1))</formula>
    </cfRule>
  </conditionalFormatting>
  <conditionalFormatting sqref="IA1 A1">
    <cfRule type="expression" priority="2" dxfId="0" stopIfTrue="1">
      <formula>CELL($J$2,A1)="l"</formula>
    </cfRule>
    <cfRule type="expression" priority="3" dxfId="1" stopIfTrue="1">
      <formula>CELL($J$2,A1)="v"</formula>
    </cfRule>
    <cfRule type="expression" priority="4" dxfId="2" stopIfTrue="1">
      <formula>CELL($J$2,A1)="b"</formula>
    </cfRule>
  </conditionalFormatting>
  <conditionalFormatting sqref="IE20:IE25">
    <cfRule type="expression" priority="5" dxfId="3" stopIfTrue="1">
      <formula>IB20=90</formula>
    </cfRule>
  </conditionalFormatting>
  <conditionalFormatting sqref="D53 M91 D72 M72 D91 M16 S16">
    <cfRule type="expression" priority="6" dxfId="4" stopIfTrue="1">
      <formula>NOT(D6="")</formula>
    </cfRule>
  </conditionalFormatting>
  <conditionalFormatting sqref="C45 L83 C64 L64 C83 L8 R8">
    <cfRule type="expression" priority="7" dxfId="3" stopIfTrue="1">
      <formula>L&gt;=J+K</formula>
    </cfRule>
  </conditionalFormatting>
  <dataValidations count="17">
    <dataValidation type="list" allowBlank="1" showInputMessage="1" showErrorMessage="1" sqref="C29">
      <formula1>$H$23:$I$23</formula1>
    </dataValidation>
    <dataValidation type="list" allowBlank="1" showInputMessage="1" showErrorMessage="1" promptTitle="Dropdown List" prompt="Select length" sqref="C45 L8 R8">
      <formula1>$D$45:$E$45</formula1>
    </dataValidation>
    <dataValidation type="list" allowBlank="1" showInputMessage="1" showErrorMessage="1" promptTitle="Select degrees" prompt="Use dropdown list" sqref="D53 M91 D72 M72 D91 M16 S16">
      <formula1>$IB$2:$IB$23</formula1>
    </dataValidation>
    <dataValidation allowBlank="1" showInputMessage="1" showErrorMessage="1" promptTitle="Degrees" prompt="eg. 11.25" sqref="IB20 IB23"/>
    <dataValidation allowBlank="1" showInputMessage="1" showErrorMessage="1" promptTitle="180-(B21+B22) Degrees" prompt="180-(B21+B22) Degrees" sqref="IB25"/>
    <dataValidation allowBlank="1" showInputMessage="1" showErrorMessage="1" promptTitle="180-(B18+B19) Degrees" prompt="180-(B18+B19) Degrees" sqref="IB22"/>
    <dataValidation type="list" allowBlank="1" showInputMessage="1" showErrorMessage="1" promptTitle="Dropdown List" prompt="Select Length" sqref="C44 L7 R7">
      <formula1>$D$44:$E$44</formula1>
    </dataValidation>
    <dataValidation allowBlank="1" showInputMessage="1" showErrorMessage="1" promptTitle="Length" prompt="e.g. 3.05&#10;Blank when cell D51 is filled in for degrees A." sqref="D43"/>
    <dataValidation allowBlank="1" showInputMessage="1" showErrorMessage="1" promptTitle="Length" prompt="e.g. 1.618034" sqref="D44 D82 D63 M7 S7"/>
    <dataValidation allowBlank="1" showInputMessage="1" showErrorMessage="1" promptTitle="Length" prompt="e.g. =SQRT(5)" sqref="D45 D83 D64 M8 S8"/>
    <dataValidation type="list" allowBlank="1" showInputMessage="1" showErrorMessage="1" promptTitle="Dropdown List" prompt="Select length" sqref="C64">
      <formula1>$D$64:$E$64</formula1>
    </dataValidation>
    <dataValidation type="list" allowBlank="1" showInputMessage="1" showErrorMessage="1" promptTitle="Dropdown List" prompt="Select Length" sqref="C63">
      <formula1>$D$63:$E$63</formula1>
    </dataValidation>
    <dataValidation allowBlank="1" showInputMessage="1" showErrorMessage="1" promptTitle="Length" prompt="e.g. 3.05&#10;Blank when cell D70 is filled in for degrees A." sqref="D62 M81"/>
    <dataValidation type="list" allowBlank="1" showInputMessage="1" showErrorMessage="1" promptTitle="Dropdown List" prompt="Select Length" sqref="C82">
      <formula1>$D$82:$E$82</formula1>
    </dataValidation>
    <dataValidation type="list" allowBlank="1" showInputMessage="1" showErrorMessage="1" promptTitle="Dropdown List" prompt="Select length" sqref="C83">
      <formula1>$D$83:$E$83</formula1>
    </dataValidation>
    <dataValidation allowBlank="1" showInputMessage="1" showErrorMessage="1" promptTitle="Length" prompt="e.g. 3.05&#10;Blank when cell D89 is filled in for degrees A." sqref="D81"/>
    <dataValidation allowBlank="1" showInputMessage="1" showErrorMessage="1" promptTitle="Length" prompt="e.g. 3.05&#10;Blank when cell M16 is filled in for degrees A." sqref="M6 S6"/>
  </dataValidations>
  <hyperlinks>
    <hyperlink ref="B1" r:id="rId1" display="Google &amp; Excel"/>
    <hyperlink ref="C1" location="'Trigonometric Function'!IE1" display="Table"/>
    <hyperlink ref="E53" location="'Trigonometric Function'!IB18" display="Table"/>
    <hyperlink ref="HY26" location="'Trigonometric Function'!D51" display="D51: Select Angle"/>
    <hyperlink ref="E72" location="'Trigonometric Function'!IB18" display="Table"/>
    <hyperlink ref="E91" location="'Trigonometric Function'!IB18" display="Table"/>
    <hyperlink ref="G43" r:id="rId2" display="Cosine Formula"/>
    <hyperlink ref="A2" r:id="rId3" display="Vector"/>
    <hyperlink ref="B6" r:id="rId4" display="Inner Product -- from Wolfram MathWorld"/>
    <hyperlink ref="E1" location="'Trigonometric Function'!F43" display="Cosine Formula"/>
    <hyperlink ref="G1" location="'Trigonometric Function'!G59" display="Hexagon"/>
    <hyperlink ref="I59" r:id="rId5" display="Hexagon -- from Wolfram MathWorld"/>
    <hyperlink ref="P56" r:id="rId6" display="8 * (sin(30 degrees)^2) * (1 - cos(120 degrees)) = 3"/>
    <hyperlink ref="H1" location="'Trigonometric Function'!E8" display="Inner Product"/>
    <hyperlink ref="N16" location="'Trigonometric Function'!IB18" display="Table"/>
    <hyperlink ref="H3" r:id="rId7" display="Dot Product -- from Wolfram MathWorld"/>
    <hyperlink ref="H4" r:id="rId8" display="Inner Product -- from Wolfram MathWorld"/>
    <hyperlink ref="T16" location="'Trigonometric Function'!IB18" display="Table"/>
  </hyperlinks>
  <printOptions/>
  <pageMargins left="0.75" right="0.75" top="1" bottom="1" header="0.512" footer="0.512"/>
  <pageSetup horizontalDpi="300" verticalDpi="300" orientation="portrait" paperSize="9" r:id="rId12"/>
  <drawing r:id="rId11"/>
  <legacyDrawing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E97"/>
  <sheetViews>
    <sheetView tabSelected="1" zoomScale="75" zoomScaleNormal="75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3" sqref="U3"/>
    </sheetView>
  </sheetViews>
  <sheetFormatPr defaultColWidth="9.00390625" defaultRowHeight="13.5"/>
  <cols>
    <col min="1" max="1" width="12.125" style="0" bestFit="1" customWidth="1"/>
    <col min="2" max="2" width="16.00390625" style="0" customWidth="1"/>
    <col min="3" max="3" width="10.75390625" style="0" bestFit="1" customWidth="1"/>
    <col min="4" max="4" width="10.875" style="0" bestFit="1" customWidth="1"/>
    <col min="5" max="5" width="11.125" style="0" bestFit="1" customWidth="1"/>
    <col min="6" max="6" width="10.125" style="0" bestFit="1" customWidth="1"/>
    <col min="7" max="7" width="11.125" style="0" bestFit="1" customWidth="1"/>
    <col min="8" max="9" width="9.125" style="0" bestFit="1" customWidth="1"/>
    <col min="10" max="10" width="12.25390625" style="0" bestFit="1" customWidth="1"/>
    <col min="11" max="11" width="16.00390625" style="0" customWidth="1"/>
    <col min="12" max="12" width="10.75390625" style="0" customWidth="1"/>
    <col min="13" max="13" width="10.125" style="0" bestFit="1" customWidth="1"/>
    <col min="14" max="14" width="10.00390625" style="0" customWidth="1"/>
    <col min="15" max="15" width="9.125" style="0" bestFit="1" customWidth="1"/>
    <col min="17" max="17" width="16.00390625" style="0" customWidth="1"/>
    <col min="18" max="18" width="10.75390625" style="0" customWidth="1"/>
    <col min="19" max="19" width="10.125" style="0" customWidth="1"/>
    <col min="20" max="20" width="10.00390625" style="0" customWidth="1"/>
    <col min="22" max="22" width="11.00390625" style="0" bestFit="1" customWidth="1"/>
    <col min="235" max="235" width="9.75390625" style="0" bestFit="1" customWidth="1"/>
    <col min="236" max="236" width="10.75390625" style="0" bestFit="1" customWidth="1"/>
    <col min="237" max="237" width="9.75390625" style="0" bestFit="1" customWidth="1"/>
    <col min="238" max="238" width="10.125" style="0" bestFit="1" customWidth="1"/>
    <col min="239" max="239" width="9.75390625" style="0" bestFit="1" customWidth="1"/>
  </cols>
  <sheetData>
    <row r="1" spans="1:239" ht="14.25">
      <c r="A1" s="94">
        <f>PI()*2/360</f>
        <v>0.017453292519943295</v>
      </c>
      <c r="B1" s="103" t="s">
        <v>99</v>
      </c>
      <c r="C1" s="69" t="s">
        <v>253</v>
      </c>
      <c r="E1" s="115" t="s">
        <v>317</v>
      </c>
      <c r="G1" s="115" t="s">
        <v>322</v>
      </c>
      <c r="H1" s="115" t="s">
        <v>348</v>
      </c>
      <c r="IA1" s="17">
        <f>PI()*2/360</f>
        <v>0.017453292519943295</v>
      </c>
      <c r="IC1" s="1" t="s">
        <v>1</v>
      </c>
      <c r="ID1" s="1" t="s">
        <v>0</v>
      </c>
      <c r="IE1" s="1" t="s">
        <v>2</v>
      </c>
    </row>
    <row r="2" spans="1:239" ht="13.5" customHeight="1">
      <c r="A2" s="103" t="s">
        <v>318</v>
      </c>
      <c r="B2" s="20" t="s">
        <v>7</v>
      </c>
      <c r="C2" s="20" t="s">
        <v>8</v>
      </c>
      <c r="D2" s="20" t="s">
        <v>303</v>
      </c>
      <c r="J2" s="62" t="s">
        <v>10</v>
      </c>
      <c r="HZ2" s="25">
        <f aca="true" t="shared" si="0" ref="HZ2:IA5">TRUNC(IC2,6)</f>
        <v>0</v>
      </c>
      <c r="IA2" s="25">
        <f t="shared" si="0"/>
        <v>1</v>
      </c>
      <c r="IB2" s="2">
        <v>0</v>
      </c>
      <c r="IC2" s="4">
        <f>SIN($A$1*IB2)</f>
        <v>0</v>
      </c>
      <c r="ID2" s="4">
        <f>COS($A$1*IB2)</f>
        <v>1</v>
      </c>
      <c r="IE2" s="4">
        <f>TAN($A$1*IB2)</f>
        <v>0</v>
      </c>
    </row>
    <row r="3" spans="2:239" ht="21">
      <c r="B3" s="20" t="s">
        <v>100</v>
      </c>
      <c r="H3" s="115" t="s">
        <v>352</v>
      </c>
      <c r="M3" s="114" t="s">
        <v>350</v>
      </c>
      <c r="S3" s="114" t="s">
        <v>350</v>
      </c>
      <c r="U3" s="141" t="s">
        <v>366</v>
      </c>
      <c r="V3" s="142">
        <v>39101</v>
      </c>
      <c r="HZ3" s="25">
        <f t="shared" si="0"/>
        <v>0.017452</v>
      </c>
      <c r="IA3" s="25">
        <f t="shared" si="0"/>
        <v>0.999847</v>
      </c>
      <c r="IB3" s="2">
        <v>1</v>
      </c>
      <c r="IC3" s="4">
        <f>SIN($A$1*IB3)</f>
        <v>0.01745240643728351</v>
      </c>
      <c r="ID3" s="4">
        <f>COS($A$1*IB3)</f>
        <v>0.9998476951563913</v>
      </c>
      <c r="IE3" s="4">
        <f>TAN($A$1*IB3)</f>
        <v>0.017455064928217585</v>
      </c>
    </row>
    <row r="4" spans="2:239" ht="14.25">
      <c r="B4">
        <f>A</f>
        <v>120</v>
      </c>
      <c r="C4">
        <f>B</f>
        <v>30</v>
      </c>
      <c r="D4">
        <f>T</f>
        <v>30</v>
      </c>
      <c r="H4" s="115" t="s">
        <v>319</v>
      </c>
      <c r="T4" s="96"/>
      <c r="HZ4" s="25">
        <f t="shared" si="0"/>
        <v>0.258819</v>
      </c>
      <c r="IA4" s="25">
        <f t="shared" si="0"/>
        <v>0.965925</v>
      </c>
      <c r="IB4" s="2">
        <v>15</v>
      </c>
      <c r="IC4" s="4">
        <f>SIN($A$1*IB4)</f>
        <v>0.25881904510252074</v>
      </c>
      <c r="ID4" s="4">
        <f>COS($A$1*IB4)</f>
        <v>0.9659258262890683</v>
      </c>
      <c r="IE4" s="4">
        <f>TAN($A$1*IB4)</f>
        <v>0.2679491924311227</v>
      </c>
    </row>
    <row r="5" spans="1:239" ht="14.25" thickBot="1">
      <c r="A5" s="20" t="s">
        <v>321</v>
      </c>
      <c r="B5" s="67">
        <f>COS(A*degrees)</f>
        <v>-0.4999999999999998</v>
      </c>
      <c r="C5" s="67">
        <f>COS(B*degrees)</f>
        <v>0.8660254037844387</v>
      </c>
      <c r="D5" s="67">
        <f>COS(T*degrees)</f>
        <v>0.8660254037844387</v>
      </c>
      <c r="HZ5" s="25">
        <f t="shared" si="0"/>
        <v>0.309016</v>
      </c>
      <c r="IA5" s="25">
        <f t="shared" si="0"/>
        <v>0.951056</v>
      </c>
      <c r="IB5" s="2">
        <v>18</v>
      </c>
      <c r="IC5" s="4">
        <f>SIN($A$1*IB5)</f>
        <v>0.3090169943749474</v>
      </c>
      <c r="ID5" s="4">
        <f>COS($A$1*IB5)</f>
        <v>0.9510565162951535</v>
      </c>
      <c r="IE5" s="4">
        <f>TAN($A$1*IB5)</f>
        <v>0.3249196962329063</v>
      </c>
    </row>
    <row r="6" spans="1:239" ht="15" thickTop="1">
      <c r="A6" s="139">
        <v>39071</v>
      </c>
      <c r="B6" s="115" t="s">
        <v>319</v>
      </c>
      <c r="C6" s="67"/>
      <c r="D6" s="67"/>
      <c r="E6" s="20" t="s">
        <v>358</v>
      </c>
      <c r="K6" s="36" t="s">
        <v>256</v>
      </c>
      <c r="L6" s="82">
        <f>IF(AND(NOT(M16=""),NOT(M6="")),M6,IF(NOT(M16=""),O6,IF(M19=90,N6,M6)))</f>
        <v>1.7320508075688772</v>
      </c>
      <c r="M6" s="97"/>
      <c r="N6" s="88">
        <f>SQRT(K^2+L^2)</f>
        <v>1.4142135623730951</v>
      </c>
      <c r="O6" s="22">
        <f>SQRT(K^2+L^2-2*K*L*COS(M16*degrees))</f>
        <v>1.7320508075688772</v>
      </c>
      <c r="Q6" s="36" t="s">
        <v>256</v>
      </c>
      <c r="R6" s="82">
        <f>IF(AND(NOT(S16=""),NOT(S6="")),S6,IF(NOT(S16=""),U6,IF(S19=90,T6,S6)))</f>
        <v>0</v>
      </c>
      <c r="S6" s="97"/>
      <c r="T6" s="88">
        <f>SQRT(K^2+L^2)</f>
        <v>1.4142135623730951</v>
      </c>
      <c r="U6" s="22">
        <f>SQRT(K^2+L^2-2*K*L*COS(S16*degrees))</f>
        <v>0</v>
      </c>
      <c r="HZ6" s="25"/>
      <c r="IA6" s="25"/>
      <c r="IB6" s="2"/>
      <c r="IC6" s="4"/>
      <c r="ID6" s="4"/>
      <c r="IE6" s="4"/>
    </row>
    <row r="7" spans="1:239" ht="13.5">
      <c r="A7" s="140"/>
      <c r="K7" s="40" t="s">
        <v>257</v>
      </c>
      <c r="L7" s="67">
        <v>1</v>
      </c>
      <c r="M7" s="31">
        <f>SIN(30*degrees)*2</f>
        <v>0.9999999999999999</v>
      </c>
      <c r="N7" s="41">
        <f>SQRT(J^2+L^2)</f>
        <v>2</v>
      </c>
      <c r="Q7" s="40" t="s">
        <v>257</v>
      </c>
      <c r="R7" s="67">
        <v>2</v>
      </c>
      <c r="S7" s="31">
        <v>2</v>
      </c>
      <c r="T7" s="41">
        <f>SQRT(J^2+L^2)</f>
        <v>2</v>
      </c>
      <c r="HZ7" s="25">
        <f aca="true" t="shared" si="1" ref="HZ7:IA12">TRUNC(IC7,6)</f>
        <v>0.382683</v>
      </c>
      <c r="IA7" s="25">
        <f t="shared" si="1"/>
        <v>0.923879</v>
      </c>
      <c r="IB7" s="18">
        <v>22.5</v>
      </c>
      <c r="IC7" s="4">
        <f aca="true" t="shared" si="2" ref="IC7:IC12">SIN($A$1*IB7)</f>
        <v>0.3826834323650898</v>
      </c>
      <c r="ID7" s="4">
        <f aca="true" t="shared" si="3" ref="ID7:ID12">COS($A$1*IB7)</f>
        <v>0.9238795325112867</v>
      </c>
      <c r="IE7" s="4">
        <f aca="true" t="shared" si="4" ref="IE7:IE12">TAN($A$1*IB7)</f>
        <v>0.41421356237309503</v>
      </c>
    </row>
    <row r="8" spans="1:239" ht="17.25">
      <c r="A8" s="140"/>
      <c r="E8" s="122">
        <f>K*L*COS(A*degrees)</f>
        <v>-0.4999999999999998</v>
      </c>
      <c r="F8">
        <f>K*L*COS(120*degrees)</f>
        <v>-0.4999999999999998</v>
      </c>
      <c r="K8" s="40" t="s">
        <v>258</v>
      </c>
      <c r="L8" s="48">
        <v>1</v>
      </c>
      <c r="M8" s="31">
        <f>SIN(30*degrees)*2</f>
        <v>0.9999999999999999</v>
      </c>
      <c r="N8" s="41">
        <f>SQRT(J^2+K^2)</f>
        <v>2</v>
      </c>
      <c r="Q8" s="40" t="s">
        <v>258</v>
      </c>
      <c r="R8" s="48">
        <v>2</v>
      </c>
      <c r="S8" s="31">
        <v>2</v>
      </c>
      <c r="T8" s="41">
        <f>SQRT(J^2+K^2)</f>
        <v>2</v>
      </c>
      <c r="HZ8" s="25">
        <f t="shared" si="1"/>
        <v>0.5</v>
      </c>
      <c r="IA8" s="25">
        <f t="shared" si="1"/>
        <v>0.866025</v>
      </c>
      <c r="IB8" s="2">
        <v>30</v>
      </c>
      <c r="IC8" s="4">
        <f t="shared" si="2"/>
        <v>0.49999999999999994</v>
      </c>
      <c r="ID8" s="4">
        <f t="shared" si="3"/>
        <v>0.8660254037844387</v>
      </c>
      <c r="IE8" s="4">
        <f t="shared" si="4"/>
        <v>0.5773502691896257</v>
      </c>
    </row>
    <row r="9" spans="1:239" ht="13.5">
      <c r="A9" s="140"/>
      <c r="K9" s="129">
        <f>M21</f>
        <v>30</v>
      </c>
      <c r="L9" s="51"/>
      <c r="M9" s="51"/>
      <c r="N9" s="43"/>
      <c r="Q9" s="129">
        <f>S21</f>
      </c>
      <c r="R9" s="51"/>
      <c r="S9" s="51"/>
      <c r="T9" s="43"/>
      <c r="HZ9" s="25">
        <f t="shared" si="1"/>
        <v>0.587785</v>
      </c>
      <c r="IA9" s="25">
        <f t="shared" si="1"/>
        <v>0.809016</v>
      </c>
      <c r="IB9" s="2">
        <v>36</v>
      </c>
      <c r="IC9" s="4">
        <f t="shared" si="2"/>
        <v>0.5877852522924731</v>
      </c>
      <c r="ID9" s="4">
        <f t="shared" si="3"/>
        <v>0.8090169943749475</v>
      </c>
      <c r="IE9" s="4">
        <f t="shared" si="4"/>
        <v>0.7265425280053609</v>
      </c>
    </row>
    <row r="10" spans="1:239" ht="14.25">
      <c r="A10" s="140"/>
      <c r="B10" t="s">
        <v>307</v>
      </c>
      <c r="D10" t="s">
        <v>306</v>
      </c>
      <c r="K10" s="50"/>
      <c r="L10" s="128">
        <f>IF(J="",O6,J)</f>
        <v>1.7320508075688772</v>
      </c>
      <c r="M10" s="51"/>
      <c r="N10" s="43"/>
      <c r="Q10" s="50"/>
      <c r="R10" s="128">
        <f>IF(J="",U6,J)</f>
        <v>1.7320508075688772</v>
      </c>
      <c r="S10" s="51"/>
      <c r="T10" s="43"/>
      <c r="HZ10" s="25">
        <f t="shared" si="1"/>
        <v>0.707106</v>
      </c>
      <c r="IA10" s="25">
        <f t="shared" si="1"/>
        <v>0.707106</v>
      </c>
      <c r="IB10" s="2">
        <v>45</v>
      </c>
      <c r="IC10" s="4">
        <f t="shared" si="2"/>
        <v>0.7071067811865475</v>
      </c>
      <c r="ID10" s="4">
        <f t="shared" si="3"/>
        <v>0.7071067811865476</v>
      </c>
      <c r="IE10" s="4">
        <f t="shared" si="4"/>
        <v>0.9999999999999999</v>
      </c>
    </row>
    <row r="11" spans="1:239" ht="17.25">
      <c r="A11" s="140"/>
      <c r="B11">
        <f>K*COS(A*degrees)</f>
        <v>-0.4999999999999998</v>
      </c>
      <c r="D11">
        <f>L*COS(0*degrees)</f>
        <v>1</v>
      </c>
      <c r="K11" s="123" t="s">
        <v>254</v>
      </c>
      <c r="L11" s="32"/>
      <c r="M11" s="105" t="s">
        <v>300</v>
      </c>
      <c r="N11" s="41">
        <f>SQRT((COS(A)-COS(0))^2+(SIN(A)-SIN(0))^2)</f>
        <v>0.6096212422044334</v>
      </c>
      <c r="Q11" s="123" t="s">
        <v>254</v>
      </c>
      <c r="R11" s="32"/>
      <c r="S11" s="105" t="s">
        <v>300</v>
      </c>
      <c r="T11" s="41">
        <f>SQRT((COS(A)-COS(0))^2+(SIN(A)-SIN(0))^2)</f>
        <v>0.6096212422044334</v>
      </c>
      <c r="HZ11" s="25">
        <f t="shared" si="1"/>
        <v>0.809016</v>
      </c>
      <c r="IA11" s="25">
        <f t="shared" si="1"/>
        <v>0.587785</v>
      </c>
      <c r="IB11" s="2">
        <v>54</v>
      </c>
      <c r="IC11" s="4">
        <f t="shared" si="2"/>
        <v>0.8090169943749475</v>
      </c>
      <c r="ID11" s="4">
        <f t="shared" si="3"/>
        <v>0.5877852522924731</v>
      </c>
      <c r="IE11" s="4">
        <f t="shared" si="4"/>
        <v>1.3763819204711734</v>
      </c>
    </row>
    <row r="12" spans="1:239" ht="14.25">
      <c r="A12" s="140"/>
      <c r="B12">
        <f>K*SIN(A*degrees)</f>
        <v>0.8660254037844387</v>
      </c>
      <c r="D12">
        <f>L*SIN(0*degrees)</f>
        <v>0</v>
      </c>
      <c r="K12" s="50"/>
      <c r="L12" s="73">
        <f>K</f>
        <v>1</v>
      </c>
      <c r="M12" s="32"/>
      <c r="N12" s="43"/>
      <c r="Q12" s="50"/>
      <c r="R12" s="73">
        <f>K</f>
        <v>1</v>
      </c>
      <c r="S12" s="32"/>
      <c r="T12" s="43"/>
      <c r="HZ12" s="25">
        <f t="shared" si="1"/>
        <v>0.866025</v>
      </c>
      <c r="IA12" s="25">
        <f t="shared" si="1"/>
        <v>0.5</v>
      </c>
      <c r="IB12" s="2">
        <v>60</v>
      </c>
      <c r="IC12" s="4">
        <f t="shared" si="2"/>
        <v>0.8660254037844386</v>
      </c>
      <c r="ID12" s="4">
        <f t="shared" si="3"/>
        <v>0.5000000000000001</v>
      </c>
      <c r="IE12" s="4">
        <f t="shared" si="4"/>
        <v>1.7320508075688767</v>
      </c>
    </row>
    <row r="13" spans="1:239" ht="13.5">
      <c r="A13" s="140"/>
      <c r="B13" s="138" t="s">
        <v>304</v>
      </c>
      <c r="C13" s="138"/>
      <c r="D13" s="138"/>
      <c r="K13" s="80"/>
      <c r="L13" s="96">
        <v>120</v>
      </c>
      <c r="M13" s="79">
        <f>M20</f>
        <v>30</v>
      </c>
      <c r="N13" s="42"/>
      <c r="Q13" s="80"/>
      <c r="R13" s="96">
        <v>0</v>
      </c>
      <c r="S13" s="79">
        <f>S20</f>
      </c>
      <c r="T13" s="42"/>
      <c r="HZ13" s="25"/>
      <c r="IA13" s="25"/>
      <c r="IB13" s="2"/>
      <c r="IC13" s="4"/>
      <c r="ID13" s="4"/>
      <c r="IE13" s="4"/>
    </row>
    <row r="14" spans="1:239" ht="14.25">
      <c r="A14" s="140"/>
      <c r="K14" s="131" t="str">
        <f>CONCATENATE(K,"(K) * cos",M16,"deg")</f>
        <v>1(K) * cos120deg</v>
      </c>
      <c r="L14" s="72" t="s">
        <v>255</v>
      </c>
      <c r="M14" s="73">
        <f>L</f>
        <v>1</v>
      </c>
      <c r="N14" s="42"/>
      <c r="Q14" s="131" t="s">
        <v>354</v>
      </c>
      <c r="R14" s="72" t="s">
        <v>255</v>
      </c>
      <c r="S14" s="73">
        <f>L</f>
        <v>1</v>
      </c>
      <c r="T14" s="42"/>
      <c r="HZ14" s="25">
        <f aca="true" t="shared" si="5" ref="HZ14:IA18">TRUNC(IC14,6)</f>
        <v>0.923879</v>
      </c>
      <c r="IA14" s="25">
        <f t="shared" si="5"/>
        <v>0.382683</v>
      </c>
      <c r="IB14" s="18">
        <v>67.5</v>
      </c>
      <c r="IC14" s="4">
        <f>SIN($A$1*IB14)</f>
        <v>0.9238795325112867</v>
      </c>
      <c r="ID14" s="4">
        <f>COS($A$1*IB14)</f>
        <v>0.38268343236508984</v>
      </c>
      <c r="IE14" s="4">
        <f>TAN($A$1*IB14)</f>
        <v>2.414213562373095</v>
      </c>
    </row>
    <row r="15" spans="1:239" ht="13.5">
      <c r="A15" s="140"/>
      <c r="B15" s="20" t="s">
        <v>305</v>
      </c>
      <c r="C15">
        <f>COS(A*degrees)</f>
        <v>-0.4999999999999998</v>
      </c>
      <c r="D15">
        <f>COS(120*degrees)</f>
        <v>-0.4999999999999998</v>
      </c>
      <c r="E15" s="107">
        <f>(K*COS(A*degrees)*L*COS(0*degrees)+K*SIN(A*degrees)*L*SIN(0*degrees))/(K*L)</f>
        <v>-0.4999999999999998</v>
      </c>
      <c r="F15" s="77">
        <f>IF(ISERROR(VLOOKUP(G15,$IA$2:$IB$23,2,FALSE)),"",VLOOKUP(G15,$IA$2:$IB$23,2,FALSE))</f>
        <v>120</v>
      </c>
      <c r="G15" s="116">
        <f>TRUNC(E15,6)</f>
        <v>-0.5</v>
      </c>
      <c r="H15" s="32"/>
      <c r="K15" s="131" t="str">
        <f>CONCATENATE("=",K*COS(M16*degrees))</f>
        <v>=-0.5</v>
      </c>
      <c r="L15" s="98"/>
      <c r="M15" s="99" t="s">
        <v>100</v>
      </c>
      <c r="N15" s="42"/>
      <c r="Q15" s="131" t="s">
        <v>355</v>
      </c>
      <c r="R15" s="98"/>
      <c r="S15" s="99" t="s">
        <v>100</v>
      </c>
      <c r="T15" s="42"/>
      <c r="HZ15" s="25">
        <f t="shared" si="5"/>
        <v>0.951056</v>
      </c>
      <c r="IA15" s="25">
        <f t="shared" si="5"/>
        <v>0.309016</v>
      </c>
      <c r="IB15" s="2">
        <v>72</v>
      </c>
      <c r="IC15" s="4">
        <f>SIN($A$1*IB15)</f>
        <v>0.9510565162951535</v>
      </c>
      <c r="ID15" s="4">
        <f>COS($A$1*IB15)</f>
        <v>0.30901699437494745</v>
      </c>
      <c r="IE15" s="4">
        <f>TAN($A$1*IB15)</f>
        <v>3.0776835371752527</v>
      </c>
    </row>
    <row r="16" spans="1:239" ht="14.25">
      <c r="A16" s="140"/>
      <c r="I16" s="32"/>
      <c r="J16" s="127"/>
      <c r="K16" s="132" t="str">
        <f>CONCATENATE(K*COS(M16*degrees),"*",L,"(L)= ",K*COS(M16*degrees)*L)</f>
        <v>-0.5*1(L)= -0.5</v>
      </c>
      <c r="L16" s="35" t="s">
        <v>7</v>
      </c>
      <c r="M16" s="100">
        <v>120</v>
      </c>
      <c r="N16" s="81" t="s">
        <v>253</v>
      </c>
      <c r="Q16" s="132" t="s">
        <v>356</v>
      </c>
      <c r="R16" s="35" t="s">
        <v>7</v>
      </c>
      <c r="S16" s="100">
        <v>0</v>
      </c>
      <c r="T16" s="81" t="s">
        <v>253</v>
      </c>
      <c r="HZ16" s="25">
        <f t="shared" si="5"/>
        <v>0.965925</v>
      </c>
      <c r="IA16" s="25">
        <f t="shared" si="5"/>
        <v>0.258819</v>
      </c>
      <c r="IB16" s="2">
        <v>75</v>
      </c>
      <c r="IC16" s="4">
        <f>SIN($A$1*IB16)</f>
        <v>0.9659258262890683</v>
      </c>
      <c r="ID16" s="4">
        <f>COS($A$1*IB16)</f>
        <v>0.25881904510252074</v>
      </c>
      <c r="IE16" s="4">
        <f>TAN($A$1*IB16)</f>
        <v>3.7320508075688776</v>
      </c>
    </row>
    <row r="17" spans="1:239" ht="13.5">
      <c r="A17" s="140"/>
      <c r="E17">
        <f>(B11*D11+B12*D12)/(K*L)</f>
        <v>-0.4999999999999998</v>
      </c>
      <c r="K17" s="44"/>
      <c r="L17" s="34"/>
      <c r="M17" s="33"/>
      <c r="N17" s="42"/>
      <c r="Q17" s="44"/>
      <c r="R17" s="34"/>
      <c r="S17" s="33"/>
      <c r="T17" s="42"/>
      <c r="HZ17" s="25">
        <f t="shared" si="5"/>
        <v>0.999847</v>
      </c>
      <c r="IA17" s="25">
        <f t="shared" si="5"/>
        <v>0.017452</v>
      </c>
      <c r="IB17" s="2">
        <v>89</v>
      </c>
      <c r="IC17" s="4">
        <f>SIN($A$1*IB17)</f>
        <v>0.9998476951563913</v>
      </c>
      <c r="ID17" s="4">
        <f>COS($A$1*IB17)</f>
        <v>0.0174524064372836</v>
      </c>
      <c r="IE17" s="4">
        <f>TAN($A$1*IB17)</f>
        <v>57.289961630759144</v>
      </c>
    </row>
    <row r="18" spans="1:239" ht="13.5">
      <c r="A18" s="140"/>
      <c r="E18">
        <f>(K*COS(A)*L*COS(A)+K*SIN(A)*L*SIN(A))/(K*L)</f>
        <v>1</v>
      </c>
      <c r="K18" s="44"/>
      <c r="L18" s="32"/>
      <c r="M18" s="35" t="s">
        <v>100</v>
      </c>
      <c r="N18" s="42"/>
      <c r="Q18" s="44"/>
      <c r="R18" s="32"/>
      <c r="S18" s="35" t="s">
        <v>100</v>
      </c>
      <c r="T18" s="42"/>
      <c r="HZ18" s="25">
        <f t="shared" si="5"/>
        <v>1</v>
      </c>
      <c r="IA18" s="25">
        <f t="shared" si="5"/>
        <v>0</v>
      </c>
      <c r="IB18" s="2">
        <v>90</v>
      </c>
      <c r="IC18" s="4">
        <f>SIN($A$1*IB18)</f>
        <v>1</v>
      </c>
      <c r="ID18" s="4">
        <f>COS($A$1*IB18)</f>
        <v>6.1257422745431E-17</v>
      </c>
      <c r="IE18" s="4"/>
    </row>
    <row r="19" spans="1:20" ht="13.5">
      <c r="A19" s="140"/>
      <c r="C19">
        <f>COS(30*degrees)</f>
        <v>0.8660254037844387</v>
      </c>
      <c r="E19">
        <f>(K*L*COS(T*degrees))/(COS(B*degrees)*COS(T*degrees))</f>
        <v>1.1547005383792515</v>
      </c>
      <c r="K19" s="124" t="s">
        <v>5</v>
      </c>
      <c r="L19" s="125">
        <f>(K^2+L^2-J^2)/(2*K*L)</f>
        <v>-0.4999999999999998</v>
      </c>
      <c r="M19" s="126">
        <f>IF(ISERROR(VLOOKUP(N19,$IA$2:$IB$23,2,FALSE)),"",VLOOKUP(N19,$IA$2:$IB$23,2,FALSE))</f>
        <v>120</v>
      </c>
      <c r="N19" s="63">
        <f>TRUNC(L19,6)</f>
        <v>-0.5</v>
      </c>
      <c r="Q19" s="124" t="s">
        <v>5</v>
      </c>
      <c r="R19" s="125">
        <v>1</v>
      </c>
      <c r="S19" s="126">
        <v>0</v>
      </c>
      <c r="T19" s="63">
        <f>TRUNC(R19,6)</f>
        <v>1</v>
      </c>
    </row>
    <row r="20" spans="1:239" ht="13.5">
      <c r="A20" s="140"/>
      <c r="C20">
        <f>(COS(B*degrees)*COS(T*degrees))/(K*L*COS(T*degrees))</f>
        <v>0.8660254037844387</v>
      </c>
      <c r="K20" s="45" t="s">
        <v>6</v>
      </c>
      <c r="L20" s="48">
        <f>(J^2+L^2-K^2)/(2*J*L)</f>
        <v>0.8660254037844386</v>
      </c>
      <c r="M20" s="77">
        <f>IF(ISERROR(VLOOKUP(N20,$IA$2:$IB$18,2,FALSE)),"",VLOOKUP(N20,$IA$2:$IB$18,2,FALSE))</f>
        <v>30</v>
      </c>
      <c r="N20" s="64">
        <f>TRUNC(L20,6)</f>
        <v>0.866025</v>
      </c>
      <c r="Q20" s="45" t="s">
        <v>6</v>
      </c>
      <c r="R20" s="48" t="e">
        <v>#DIV/0!</v>
      </c>
      <c r="S20" s="77" t="s">
        <v>357</v>
      </c>
      <c r="T20" s="64" t="e">
        <f>TRUNC(R20,6)</f>
        <v>#DIV/0!</v>
      </c>
      <c r="HZ20" s="25">
        <f aca="true" t="shared" si="6" ref="HZ20:IA25">TRUNC(IC20,6)</f>
        <v>0.5</v>
      </c>
      <c r="IA20" s="25">
        <f t="shared" si="6"/>
        <v>0.866025</v>
      </c>
      <c r="IB20" s="19">
        <v>30</v>
      </c>
      <c r="IC20" s="4">
        <f aca="true" t="shared" si="7" ref="IC20:IC25">SIN($A$1*IB20)</f>
        <v>0.49999999999999994</v>
      </c>
      <c r="ID20" s="4">
        <f>COS($A$1*IB20)</f>
        <v>0.8660254037844387</v>
      </c>
      <c r="IE20" s="4">
        <f>TAN($A$1*IB20)</f>
        <v>0.5773502691896257</v>
      </c>
    </row>
    <row r="21" spans="1:239" ht="14.25" thickBot="1">
      <c r="A21" s="140"/>
      <c r="K21" s="46" t="s">
        <v>359</v>
      </c>
      <c r="L21" s="49">
        <f>(J^2+K^2-L^2)/(2*J*K)</f>
        <v>0.8660254037844386</v>
      </c>
      <c r="M21" s="78">
        <f>IF(ISERROR(VLOOKUP(N21,$IA$2:$IB$18,2,FALSE)),"",VLOOKUP(N21,$IA$2:$IB$18,2,FALSE))</f>
        <v>30</v>
      </c>
      <c r="N21" s="65">
        <f>TRUNC(L21,6)</f>
        <v>0.866025</v>
      </c>
      <c r="Q21" s="46" t="s">
        <v>359</v>
      </c>
      <c r="R21" s="49" t="e">
        <v>#DIV/0!</v>
      </c>
      <c r="S21" s="78" t="s">
        <v>357</v>
      </c>
      <c r="T21" s="65" t="e">
        <f>TRUNC(R21,6)</f>
        <v>#DIV/0!</v>
      </c>
      <c r="HZ21" s="25">
        <f t="shared" si="6"/>
        <v>1</v>
      </c>
      <c r="IA21" s="25">
        <f t="shared" si="6"/>
        <v>0</v>
      </c>
      <c r="IB21" s="19">
        <v>90</v>
      </c>
      <c r="IC21" s="4">
        <f t="shared" si="7"/>
        <v>1</v>
      </c>
      <c r="ID21" s="4">
        <f>COS($A$1*IB21)</f>
        <v>6.1257422745431E-17</v>
      </c>
      <c r="IE21" s="4">
        <f>TAN($A$1*IB21)</f>
        <v>16324552277619072</v>
      </c>
    </row>
    <row r="22" spans="5:239" ht="15" thickTop="1">
      <c r="E22" s="106"/>
      <c r="K22" s="130" t="s">
        <v>351</v>
      </c>
      <c r="Q22" s="130" t="s">
        <v>365</v>
      </c>
      <c r="HZ22" s="25">
        <f t="shared" si="6"/>
        <v>0.866025</v>
      </c>
      <c r="IA22" s="25">
        <f t="shared" si="6"/>
        <v>0.5</v>
      </c>
      <c r="IB22" s="21">
        <f>180-(IB20+IB21)</f>
        <v>60</v>
      </c>
      <c r="IC22" s="4">
        <f t="shared" si="7"/>
        <v>0.8660254037844386</v>
      </c>
      <c r="ID22" s="4">
        <f>1*COS($A$1*IB22)</f>
        <v>0.5000000000000001</v>
      </c>
      <c r="IE22" s="4">
        <f>-1*TAN($A$1*IB22)</f>
        <v>-1.7320508075688767</v>
      </c>
    </row>
    <row r="23" spans="234:239" ht="13.5">
      <c r="HZ23" s="25">
        <f t="shared" si="6"/>
        <v>0.866025</v>
      </c>
      <c r="IA23" s="25">
        <f t="shared" si="6"/>
        <v>-0.5</v>
      </c>
      <c r="IB23" s="23">
        <v>120</v>
      </c>
      <c r="IC23" s="4">
        <f t="shared" si="7"/>
        <v>0.8660254037844387</v>
      </c>
      <c r="ID23" s="4">
        <f>COS($A$1*IB23)</f>
        <v>-0.4999999999999998</v>
      </c>
      <c r="IE23" s="4">
        <f>TAN($A$1*IB23)</f>
        <v>-1.7320508075688783</v>
      </c>
    </row>
    <row r="24" spans="2:239" ht="17.25">
      <c r="B24" s="104" t="s">
        <v>299</v>
      </c>
      <c r="C24">
        <f>D24-E24</f>
        <v>1.4999999999999998</v>
      </c>
      <c r="D24">
        <f>L*COS(0*degrees)</f>
        <v>1</v>
      </c>
      <c r="E24">
        <f>L*COS(A*degrees)</f>
        <v>-0.4999999999999998</v>
      </c>
      <c r="HZ24" s="25">
        <f t="shared" si="6"/>
        <v>0.5</v>
      </c>
      <c r="IA24" s="25">
        <f t="shared" si="6"/>
        <v>0.866025</v>
      </c>
      <c r="IB24" s="23">
        <v>30</v>
      </c>
      <c r="IC24" s="4">
        <f t="shared" si="7"/>
        <v>0.49999999999999994</v>
      </c>
      <c r="ID24" s="4">
        <f>COS($A$1*IB24)</f>
        <v>0.8660254037844387</v>
      </c>
      <c r="IE24" s="4">
        <f>TAN($A$1*IB24)</f>
        <v>0.5773502691896257</v>
      </c>
    </row>
    <row r="25" spans="3:239" ht="13.5">
      <c r="C25">
        <f>D25-E25</f>
        <v>-0.8660254037844387</v>
      </c>
      <c r="D25">
        <f>L*SIN(0*degrees)</f>
        <v>0</v>
      </c>
      <c r="E25">
        <f>L*SIN(A*degrees)</f>
        <v>0.8660254037844387</v>
      </c>
      <c r="HZ25" s="25">
        <f t="shared" si="6"/>
        <v>0.5</v>
      </c>
      <c r="IA25" s="25">
        <f t="shared" si="6"/>
        <v>0.866025</v>
      </c>
      <c r="IB25" s="24">
        <f>180-(IB23+IB24)</f>
        <v>30</v>
      </c>
      <c r="IC25" s="4">
        <f t="shared" si="7"/>
        <v>0.49999999999999994</v>
      </c>
      <c r="ID25" s="4">
        <f>COS($A$1*IB25)</f>
        <v>0.8660254037844387</v>
      </c>
      <c r="IE25" s="4">
        <f>TAN($A$1*IB25)</f>
        <v>0.5773502691896257</v>
      </c>
    </row>
    <row r="26" spans="2:234" ht="18" thickBot="1">
      <c r="B26" s="104" t="s">
        <v>308</v>
      </c>
      <c r="C26">
        <f>SQRT(C24^2+C25^2)</f>
        <v>1.732050807568877</v>
      </c>
      <c r="D26" s="93"/>
      <c r="E26" s="93"/>
      <c r="M26" s="93"/>
      <c r="HY26" s="136" t="s">
        <v>259</v>
      </c>
      <c r="HZ26" s="136"/>
    </row>
    <row r="27" ht="15" hidden="1" thickBot="1" thickTop="1"/>
    <row r="28" spans="1:5" ht="15" hidden="1" thickBot="1" thickTop="1">
      <c r="A28" s="137">
        <v>39008</v>
      </c>
      <c r="B28" s="36" t="s">
        <v>236</v>
      </c>
      <c r="C28" s="37">
        <v>1</v>
      </c>
      <c r="D28" s="38"/>
      <c r="E28" s="39"/>
    </row>
    <row r="29" spans="1:5" ht="13.5" hidden="1">
      <c r="A29" s="137"/>
      <c r="B29" s="40" t="s">
        <v>237</v>
      </c>
      <c r="C29" s="30">
        <v>1.902113032590307</v>
      </c>
      <c r="D29" s="31">
        <v>1</v>
      </c>
      <c r="E29" s="41">
        <f>SQRT(G^2+I^2)</f>
        <v>1.902113032590307</v>
      </c>
    </row>
    <row r="30" spans="1:5" ht="13.5" hidden="1">
      <c r="A30" s="137"/>
      <c r="B30" s="40" t="s">
        <v>238</v>
      </c>
      <c r="C30" s="30">
        <f>(SQRT(5)+1)/2</f>
        <v>1.618033988749895</v>
      </c>
      <c r="D30" s="32"/>
      <c r="E30" s="42"/>
    </row>
    <row r="31" spans="1:5" ht="13.5" hidden="1">
      <c r="A31" s="137"/>
      <c r="B31" s="50"/>
      <c r="C31" s="51"/>
      <c r="D31" s="51"/>
      <c r="E31" s="43"/>
    </row>
    <row r="32" spans="1:5" ht="13.5" hidden="1">
      <c r="A32" s="137"/>
      <c r="B32" s="50"/>
      <c r="C32" s="79">
        <f>D41</f>
      </c>
      <c r="D32" s="51"/>
      <c r="E32" s="43"/>
    </row>
    <row r="33" spans="1:5" ht="14.25" hidden="1">
      <c r="A33" s="137"/>
      <c r="B33" s="52" t="s">
        <v>360</v>
      </c>
      <c r="C33" s="70" t="s">
        <v>240</v>
      </c>
      <c r="D33" s="71" t="s">
        <v>239</v>
      </c>
      <c r="E33" s="41">
        <f>SQRT((COS(A)-COS(0))^2+(SIN(A)-SIN(0))^2)</f>
        <v>0.6096212422044334</v>
      </c>
    </row>
    <row r="34" spans="1:5" ht="14.25" hidden="1">
      <c r="A34" s="137"/>
      <c r="B34" s="50"/>
      <c r="C34" s="73">
        <f>E</f>
        <v>1.902113032590307</v>
      </c>
      <c r="E34" s="74">
        <f>D</f>
        <v>1</v>
      </c>
    </row>
    <row r="35" spans="1:5" ht="13.5" hidden="1">
      <c r="A35" s="137"/>
      <c r="B35" s="80">
        <f>D39</f>
      </c>
      <c r="C35" s="51"/>
      <c r="D35" s="79">
        <f>D40</f>
        <v>90</v>
      </c>
      <c r="E35" s="42"/>
    </row>
    <row r="36" spans="1:5" ht="14.25" hidden="1">
      <c r="A36" s="137"/>
      <c r="B36" s="57"/>
      <c r="C36" s="72" t="s">
        <v>241</v>
      </c>
      <c r="D36" s="73">
        <f>F</f>
        <v>1.618033988749895</v>
      </c>
      <c r="E36" s="42"/>
    </row>
    <row r="37" spans="1:5" ht="13.5" hidden="1">
      <c r="A37" s="137"/>
      <c r="B37" s="44"/>
      <c r="C37" s="68" t="s">
        <v>252</v>
      </c>
      <c r="D37" s="33"/>
      <c r="E37" s="42"/>
    </row>
    <row r="38" spans="1:5" ht="13.5" hidden="1">
      <c r="A38" s="137"/>
      <c r="B38" s="44"/>
      <c r="C38" s="32"/>
      <c r="D38" s="61" t="s">
        <v>100</v>
      </c>
      <c r="E38" s="42"/>
    </row>
    <row r="39" spans="1:5" ht="13.5" hidden="1">
      <c r="A39" s="137"/>
      <c r="B39" s="45" t="s">
        <v>5</v>
      </c>
      <c r="C39" s="48">
        <f>(H^2+I^2-G^2)/(2*H*I)</f>
        <v>0.8506508083520399</v>
      </c>
      <c r="D39" s="77">
        <f>IF(ISERROR(VLOOKUP(E39,$IA$2:$IB$18,2,FALSE)),"",VLOOKUP(E39,$IA$2:$IB$18,2,FALSE))</f>
      </c>
      <c r="E39" s="63">
        <f>TRUNC(C39,6)</f>
        <v>0.85065</v>
      </c>
    </row>
    <row r="40" spans="1:5" ht="13.5" hidden="1">
      <c r="A40" s="137"/>
      <c r="B40" s="45" t="s">
        <v>6</v>
      </c>
      <c r="C40" s="48">
        <f>(G^2+I^2-H^2)/(2*G*I)</f>
        <v>1.3723111286221163E-16</v>
      </c>
      <c r="D40" s="77">
        <f>IF(ISERROR(VLOOKUP(E40,$IA$2:$IB$18,2,FALSE)),"",VLOOKUP(E40,$IA$2:$IB$18,2,FALSE))</f>
        <v>90</v>
      </c>
      <c r="E40" s="64">
        <f>TRUNC(C40,6)</f>
        <v>0</v>
      </c>
    </row>
    <row r="41" spans="1:5" ht="14.25" hidden="1" thickBot="1">
      <c r="A41" s="137"/>
      <c r="B41" s="46" t="s">
        <v>359</v>
      </c>
      <c r="C41" s="49">
        <f>(G^2+H^2-I^2)/(2*G*H)</f>
        <v>0.5257311121191336</v>
      </c>
      <c r="D41" s="78">
        <f>IF(ISERROR(VLOOKUP(E41,$IA$2:$IB$18,2,FALSE)),"",VLOOKUP(E41,$IA$2:$IB$18,2,FALSE))</f>
      </c>
      <c r="E41" s="65">
        <f>TRUNC(C41,6)</f>
        <v>0.525731</v>
      </c>
    </row>
    <row r="42" spans="4:5" ht="15" hidden="1" thickBot="1" thickTop="1">
      <c r="D42" s="75"/>
      <c r="E42" s="75"/>
    </row>
    <row r="43" spans="1:14" ht="15" thickTop="1">
      <c r="A43" s="137">
        <v>39046</v>
      </c>
      <c r="B43" s="36" t="s">
        <v>256</v>
      </c>
      <c r="C43" s="82">
        <f>IF(AND(NOT(D53=""),NOT(D43="")),D43,IF(NOT(D53=""),F43,IF(D56=90,E43,D43)))</f>
        <v>1.7320508075688772</v>
      </c>
      <c r="D43" s="31"/>
      <c r="E43" s="41">
        <f>SQRT(K^2+L^2)</f>
        <v>1.4142135623730951</v>
      </c>
      <c r="F43" s="22">
        <f>SQRT(K^2+L^2-2*K*L*COS(D53*degrees))</f>
        <v>1.7320508075688772</v>
      </c>
      <c r="G43" s="136" t="s">
        <v>317</v>
      </c>
      <c r="H43" s="136"/>
      <c r="K43" s="85"/>
      <c r="L43" s="86"/>
      <c r="M43" s="109"/>
      <c r="N43" s="88"/>
    </row>
    <row r="44" spans="1:14" ht="13.5">
      <c r="A44" s="137"/>
      <c r="B44" s="40" t="s">
        <v>257</v>
      </c>
      <c r="C44" s="67">
        <v>1</v>
      </c>
      <c r="D44" s="31">
        <v>1</v>
      </c>
      <c r="E44" s="41">
        <f>SQRT(J^2+L^2)</f>
        <v>2</v>
      </c>
      <c r="K44" s="57"/>
      <c r="L44" s="48"/>
      <c r="M44" s="32"/>
      <c r="N44" s="41"/>
    </row>
    <row r="45" spans="1:14" ht="13.5">
      <c r="A45" s="137"/>
      <c r="B45" s="40" t="s">
        <v>258</v>
      </c>
      <c r="C45" s="133">
        <v>1</v>
      </c>
      <c r="D45" s="31">
        <v>1</v>
      </c>
      <c r="E45" s="41">
        <f>SQRT(J^2+K^2)</f>
        <v>2</v>
      </c>
      <c r="G45" s="90">
        <v>30</v>
      </c>
      <c r="H45" s="90">
        <v>120</v>
      </c>
      <c r="K45" s="57"/>
      <c r="L45" s="90">
        <v>30</v>
      </c>
      <c r="M45" s="90">
        <v>120</v>
      </c>
      <c r="N45" s="43"/>
    </row>
    <row r="46" spans="1:14" ht="13.5">
      <c r="A46" s="137"/>
      <c r="B46" s="50"/>
      <c r="C46" s="51"/>
      <c r="D46" s="51"/>
      <c r="E46" s="43"/>
      <c r="K46" s="50"/>
      <c r="L46" s="32"/>
      <c r="M46" s="32"/>
      <c r="N46" s="43"/>
    </row>
    <row r="47" spans="1:14" ht="13.5">
      <c r="A47" s="137"/>
      <c r="B47" s="50"/>
      <c r="C47" s="79">
        <f>D58</f>
        <v>30</v>
      </c>
      <c r="D47" s="51"/>
      <c r="E47" s="43"/>
      <c r="F47" s="2"/>
      <c r="I47" s="96">
        <v>30</v>
      </c>
      <c r="K47" s="50"/>
      <c r="L47" s="32"/>
      <c r="M47" s="32"/>
      <c r="N47" s="108">
        <v>30</v>
      </c>
    </row>
    <row r="48" spans="1:14" ht="17.25">
      <c r="A48" s="137"/>
      <c r="B48" s="52" t="s">
        <v>360</v>
      </c>
      <c r="C48" s="70" t="s">
        <v>254</v>
      </c>
      <c r="D48" s="105" t="s">
        <v>300</v>
      </c>
      <c r="E48" s="41">
        <f>SQRT((COS(A)-COS(0))^2+(SIN(A)-SIN(0))^2)</f>
        <v>0.6096212422044334</v>
      </c>
      <c r="F48" s="26" t="s">
        <v>361</v>
      </c>
      <c r="G48" s="70" t="s">
        <v>261</v>
      </c>
      <c r="H48" s="71"/>
      <c r="K48" s="52"/>
      <c r="L48" s="70" t="s">
        <v>261</v>
      </c>
      <c r="M48" s="71"/>
      <c r="N48" s="43"/>
    </row>
    <row r="49" spans="1:14" ht="14.25">
      <c r="A49" s="137"/>
      <c r="B49" s="50"/>
      <c r="C49" s="73">
        <f>K</f>
        <v>1</v>
      </c>
      <c r="E49" s="83">
        <f>IF(J="",F43,J)</f>
        <v>1.7320508075688772</v>
      </c>
      <c r="F49" s="50">
        <f>COS(A)</f>
        <v>0.8141809705265618</v>
      </c>
      <c r="G49" s="73"/>
      <c r="H49" s="51"/>
      <c r="K49" s="50"/>
      <c r="L49" s="73"/>
      <c r="M49" s="51"/>
      <c r="N49" s="43"/>
    </row>
    <row r="50" spans="1:17" ht="13.5">
      <c r="A50" s="137"/>
      <c r="B50" s="80">
        <f>D56</f>
        <v>120</v>
      </c>
      <c r="C50" s="51"/>
      <c r="D50" s="79">
        <f>D57</f>
        <v>30</v>
      </c>
      <c r="E50" s="42"/>
      <c r="F50" s="79"/>
      <c r="G50" s="51"/>
      <c r="I50" s="96"/>
      <c r="K50" s="80"/>
      <c r="L50" s="51"/>
      <c r="M50" s="32"/>
      <c r="N50" s="108"/>
      <c r="Q50" t="s">
        <v>362</v>
      </c>
    </row>
    <row r="51" spans="1:14" ht="14.25">
      <c r="A51" s="137"/>
      <c r="B51" s="57"/>
      <c r="C51" s="72" t="s">
        <v>255</v>
      </c>
      <c r="D51" s="73">
        <f>L</f>
        <v>1</v>
      </c>
      <c r="E51" s="42"/>
      <c r="F51" s="79"/>
      <c r="G51" s="72" t="s">
        <v>262</v>
      </c>
      <c r="H51" s="73">
        <v>1.618033988749895</v>
      </c>
      <c r="K51" s="57"/>
      <c r="L51" s="72" t="s">
        <v>262</v>
      </c>
      <c r="M51" s="73">
        <v>1.618033988749895</v>
      </c>
      <c r="N51" s="43"/>
    </row>
    <row r="52" spans="1:19" ht="13.5">
      <c r="A52" s="137"/>
      <c r="B52" s="57"/>
      <c r="C52" s="2"/>
      <c r="D52" s="20" t="s">
        <v>100</v>
      </c>
      <c r="E52" s="42"/>
      <c r="F52" s="2"/>
      <c r="K52" s="57"/>
      <c r="L52" s="32"/>
      <c r="M52" s="32"/>
      <c r="N52" s="43"/>
      <c r="P52" s="114" t="s">
        <v>363</v>
      </c>
      <c r="Q52" s="112">
        <f>x</f>
        <v>1.4999999999999998</v>
      </c>
      <c r="R52" s="112">
        <f>y</f>
        <v>-0.8660254037844387</v>
      </c>
      <c r="S52" t="s">
        <v>315</v>
      </c>
    </row>
    <row r="53" spans="1:18" ht="14.25">
      <c r="A53" s="137"/>
      <c r="B53" s="57"/>
      <c r="C53" s="1" t="s">
        <v>7</v>
      </c>
      <c r="D53" s="76">
        <v>120</v>
      </c>
      <c r="E53" s="81" t="s">
        <v>253</v>
      </c>
      <c r="F53" s="2"/>
      <c r="G53" s="20" t="s">
        <v>320</v>
      </c>
      <c r="H53" s="2">
        <v>1</v>
      </c>
      <c r="K53" s="57"/>
      <c r="L53" s="99" t="s">
        <v>320</v>
      </c>
      <c r="M53" s="98">
        <v>1</v>
      </c>
      <c r="N53" s="43"/>
      <c r="P53" s="114" t="s">
        <v>312</v>
      </c>
      <c r="Q53" s="113">
        <f>L*COS(0*degrees)-L*COS(A*degrees)</f>
        <v>1.4999999999999998</v>
      </c>
      <c r="R53" s="113"/>
    </row>
    <row r="54" spans="1:18" ht="17.25">
      <c r="A54" s="137"/>
      <c r="B54" s="44"/>
      <c r="C54" s="34"/>
      <c r="D54" s="33"/>
      <c r="E54" s="42"/>
      <c r="F54" s="2"/>
      <c r="K54" s="57"/>
      <c r="L54" s="110" t="s">
        <v>299</v>
      </c>
      <c r="M54" s="32">
        <f>x</f>
        <v>1.4999999999999998</v>
      </c>
      <c r="N54" s="41"/>
      <c r="P54" s="114" t="s">
        <v>313</v>
      </c>
      <c r="Q54" s="113"/>
      <c r="R54" s="113">
        <f>L*SIN(0*degrees)-L*SIN(A*degrees)</f>
        <v>-0.8660254037844387</v>
      </c>
    </row>
    <row r="55" spans="1:14" ht="13.5">
      <c r="A55" s="137"/>
      <c r="B55" s="44"/>
      <c r="C55" s="32"/>
      <c r="D55" s="35" t="s">
        <v>100</v>
      </c>
      <c r="E55" s="42"/>
      <c r="F55" s="2"/>
      <c r="K55" s="57"/>
      <c r="L55" s="32"/>
      <c r="M55" s="32">
        <f>y</f>
        <v>-0.8660254037844387</v>
      </c>
      <c r="N55" s="41"/>
    </row>
    <row r="56" spans="1:16" ht="17.25">
      <c r="A56" s="137"/>
      <c r="B56" s="45" t="s">
        <v>5</v>
      </c>
      <c r="C56" s="48">
        <f>(K^2+L^2-J^2)/(2*K*L)</f>
        <v>-0.4999999999999998</v>
      </c>
      <c r="D56" s="77">
        <f>IF(ISERROR(VLOOKUP(E56,$IA$2:$IB$23,2,FALSE)),"",VLOOKUP(E56,$IA$2:$IB$23,2,FALSE))</f>
        <v>120</v>
      </c>
      <c r="E56" s="63">
        <f>TRUNC(C56,6)</f>
        <v>-0.5</v>
      </c>
      <c r="F56" s="2"/>
      <c r="G56" s="20" t="s">
        <v>3</v>
      </c>
      <c r="H56">
        <f>J/($H$53*2)</f>
        <v>0.8660254037844386</v>
      </c>
      <c r="I56" s="77">
        <f>IF(ISERROR(VLOOKUP(J56,$HZ$2:$IB$18,3,FALSE)),"",VLOOKUP(J56,$HZ$2:$IB$18,3,FALSE))</f>
        <v>60</v>
      </c>
      <c r="J56" s="63">
        <f>TRUNC(H56,6)</f>
        <v>0.866025</v>
      </c>
      <c r="K56" s="89"/>
      <c r="L56" s="110" t="s">
        <v>308</v>
      </c>
      <c r="M56" s="32">
        <f>SQRT(x^2+y^2)</f>
        <v>1.732050807568877</v>
      </c>
      <c r="N56" s="91"/>
      <c r="O56" s="110" t="s">
        <v>316</v>
      </c>
      <c r="P56" s="115" t="s">
        <v>325</v>
      </c>
    </row>
    <row r="57" spans="1:15" ht="13.5">
      <c r="A57" s="137"/>
      <c r="B57" s="45" t="s">
        <v>6</v>
      </c>
      <c r="C57" s="48">
        <f>(J^2+L^2-K^2)/(2*J*L)</f>
        <v>0.8660254037844386</v>
      </c>
      <c r="D57" s="77">
        <f>IF(ISERROR(VLOOKUP(E57,$IA$2:$IB$18,2,FALSE)),"",VLOOKUP(E57,$IA$2:$IB$18,2,FALSE))</f>
        <v>30</v>
      </c>
      <c r="E57" s="64">
        <f>TRUNC(C57,6)</f>
        <v>0.866025</v>
      </c>
      <c r="F57" s="67">
        <f>COS(B*degrees)</f>
        <v>0.8660254037844387</v>
      </c>
      <c r="G57" s="20" t="s">
        <v>4</v>
      </c>
      <c r="H57">
        <f>K/($H$53*2)</f>
        <v>0.5</v>
      </c>
      <c r="I57" s="77">
        <f>IF(ISERROR(VLOOKUP(J57,$HZ$2:$IB$18,3,FALSE)),"",VLOOKUP(J57,$HZ$2:$IB$18,3,FALSE))</f>
        <v>30</v>
      </c>
      <c r="J57" s="64">
        <f>TRUNC(H57,6)</f>
        <v>0.5</v>
      </c>
      <c r="K57" s="89"/>
      <c r="L57" s="48"/>
      <c r="M57" s="32">
        <f>2*SQRT((2*SIN(B*degrees))^2-(2*SIN(B*degrees)*SIN(B*degrees))^2)</f>
        <v>1.7320508075688772</v>
      </c>
      <c r="N57" s="43">
        <f>2*SQRT(2*(SIN(B*degrees))^2*(1-COS(A*degrees)))</f>
        <v>1.732050807568877</v>
      </c>
      <c r="O57" t="s">
        <v>309</v>
      </c>
    </row>
    <row r="58" spans="1:15" ht="14.25" thickBot="1">
      <c r="A58" s="137"/>
      <c r="B58" s="46" t="s">
        <v>359</v>
      </c>
      <c r="C58" s="49">
        <f>(J^2+K^2-L^2)/(2*J*K)</f>
        <v>0.8660254037844386</v>
      </c>
      <c r="D58" s="78">
        <f>IF(ISERROR(VLOOKUP(E58,$IA$2:$IB$18,2,FALSE)),"",VLOOKUP(E58,$IA$2:$IB$18,2,FALSE))</f>
        <v>30</v>
      </c>
      <c r="E58" s="65">
        <f>TRUNC(C58,6)</f>
        <v>0.866025</v>
      </c>
      <c r="F58" s="67">
        <f>COS(T*degrees)</f>
        <v>0.8660254037844387</v>
      </c>
      <c r="G58" s="20" t="s">
        <v>298</v>
      </c>
      <c r="H58">
        <f>L/($H$53*2)</f>
        <v>0.5</v>
      </c>
      <c r="I58" s="77">
        <f>IF(ISERROR(VLOOKUP(J58,$HZ$2:$IB$18,3,FALSE)),"",VLOOKUP(J58,$HZ$2:$IB$18,3,FALSE))</f>
        <v>30</v>
      </c>
      <c r="J58" s="101">
        <f>TRUNC(H58,6)</f>
        <v>0.5</v>
      </c>
      <c r="K58" s="92"/>
      <c r="L58" s="49"/>
      <c r="M58" s="93">
        <f>2*SQRT(K^2-(K*SIN(B*degrees))^2)</f>
        <v>1.7320508075688772</v>
      </c>
      <c r="N58" s="111">
        <f>2*SQRT(2*((1/2)*K)^2*(1-COS(A*degrees)))</f>
        <v>1.7320508075688772</v>
      </c>
      <c r="O58" t="s">
        <v>310</v>
      </c>
    </row>
    <row r="59" spans="7:13" ht="15" thickTop="1">
      <c r="G59" s="138" t="s">
        <v>323</v>
      </c>
      <c r="H59" s="138"/>
      <c r="I59" s="115" t="s">
        <v>324</v>
      </c>
      <c r="L59" s="138"/>
      <c r="M59" s="138"/>
    </row>
    <row r="60" spans="4:5" ht="13.5">
      <c r="D60" s="32"/>
      <c r="E60" s="32"/>
    </row>
    <row r="61" spans="4:5" ht="14.25" thickBot="1">
      <c r="D61" s="93"/>
      <c r="E61" s="93"/>
    </row>
    <row r="62" spans="1:14" ht="14.25" thickTop="1">
      <c r="A62" s="137">
        <v>39011</v>
      </c>
      <c r="B62" s="36" t="s">
        <v>270</v>
      </c>
      <c r="C62" s="82">
        <f>IF(AND(NOT(D72=""),NOT(D62="")),D62,IF(NOT(D72=""),F62,IF(D75=90,E62,D62)))</f>
        <v>1.902113032590307</v>
      </c>
      <c r="D62" s="31"/>
      <c r="E62" s="41">
        <f>SQRT(N^2+O^2)</f>
        <v>2.23606797749979</v>
      </c>
      <c r="F62" s="22">
        <f>SQRT(N^2+O^2-2*N*O*COS($A$1*D72))</f>
        <v>1.902113032590307</v>
      </c>
      <c r="K62" s="36" t="s">
        <v>269</v>
      </c>
      <c r="L62" s="82">
        <v>1.902113032590307</v>
      </c>
      <c r="M62" s="87"/>
      <c r="N62" s="88"/>
    </row>
    <row r="63" spans="1:14" ht="13.5">
      <c r="A63" s="137"/>
      <c r="B63" s="40" t="s">
        <v>272</v>
      </c>
      <c r="C63" s="67">
        <v>1.1755705045849463</v>
      </c>
      <c r="D63" s="31">
        <f>SIN($A$1*36)*2</f>
        <v>1.1755705045849463</v>
      </c>
      <c r="E63" s="41">
        <f>SQRT(M^2+O^2)</f>
        <v>2.689994047855829</v>
      </c>
      <c r="K63" s="40" t="s">
        <v>271</v>
      </c>
      <c r="L63" s="67">
        <v>1.1755705045849463</v>
      </c>
      <c r="M63" s="31">
        <v>1.1755705045849463</v>
      </c>
      <c r="N63" s="41"/>
    </row>
    <row r="64" spans="1:14" ht="13.5">
      <c r="A64" s="137"/>
      <c r="B64" s="40" t="s">
        <v>274</v>
      </c>
      <c r="C64" s="48">
        <v>1.902113032590307</v>
      </c>
      <c r="D64" s="31">
        <f>COS(A1*18)*2</f>
        <v>1.902113032590307</v>
      </c>
      <c r="E64" s="41">
        <f>SQRT(M^2+N^2)</f>
        <v>2.23606797749979</v>
      </c>
      <c r="K64" s="40" t="s">
        <v>273</v>
      </c>
      <c r="L64" s="48">
        <v>1.902113032590307</v>
      </c>
      <c r="M64" s="31">
        <v>1.902113032590307</v>
      </c>
      <c r="N64" s="41"/>
    </row>
    <row r="65" spans="1:14" ht="13.5">
      <c r="A65" s="137"/>
      <c r="B65" s="50"/>
      <c r="C65" s="51"/>
      <c r="D65" s="51"/>
      <c r="E65" s="43"/>
      <c r="K65" s="50"/>
      <c r="L65" s="51"/>
      <c r="M65" s="51"/>
      <c r="N65" s="43"/>
    </row>
    <row r="66" spans="1:14" ht="13.5">
      <c r="A66" s="137"/>
      <c r="B66" s="50"/>
      <c r="C66" s="79">
        <f>D77</f>
        <v>72</v>
      </c>
      <c r="D66" s="51"/>
      <c r="E66" s="43"/>
      <c r="F66" s="2"/>
      <c r="I66" s="96">
        <v>72</v>
      </c>
      <c r="K66" s="50"/>
      <c r="L66" s="79">
        <v>72</v>
      </c>
      <c r="M66" s="51"/>
      <c r="N66" s="43"/>
    </row>
    <row r="67" spans="1:14" ht="14.25">
      <c r="A67" s="137"/>
      <c r="B67" s="52" t="s">
        <v>360</v>
      </c>
      <c r="C67" s="70" t="s">
        <v>364</v>
      </c>
      <c r="D67" s="71" t="s">
        <v>276</v>
      </c>
      <c r="E67" s="41">
        <f>SQRT((COS(A)-COS(0))^2+(SIN(A)-SIN(0))^2)</f>
        <v>0.6096212422044334</v>
      </c>
      <c r="F67" s="26" t="s">
        <v>361</v>
      </c>
      <c r="G67" s="70" t="s">
        <v>261</v>
      </c>
      <c r="H67" s="71"/>
      <c r="K67" s="52" t="s">
        <v>260</v>
      </c>
      <c r="L67" s="70" t="s">
        <v>277</v>
      </c>
      <c r="M67" s="71" t="s">
        <v>275</v>
      </c>
      <c r="N67" s="41">
        <v>0.9739286503401029</v>
      </c>
    </row>
    <row r="68" spans="1:14" ht="14.25">
      <c r="A68" s="137"/>
      <c r="B68" s="50"/>
      <c r="C68" s="73">
        <f>N</f>
        <v>1.1755705045849463</v>
      </c>
      <c r="E68" s="83">
        <f>IF(M="",F62,M)</f>
        <v>1.902113032590307</v>
      </c>
      <c r="F68" s="50">
        <f>COS(A)</f>
        <v>0.8141809705265618</v>
      </c>
      <c r="G68" s="73"/>
      <c r="H68" s="51"/>
      <c r="K68" s="50"/>
      <c r="L68" s="73">
        <v>1.1755705045849463</v>
      </c>
      <c r="N68" s="84">
        <v>1.902113032590307</v>
      </c>
    </row>
    <row r="69" spans="1:14" ht="13.5">
      <c r="A69" s="137"/>
      <c r="B69" s="80">
        <f>D75</f>
        <v>72</v>
      </c>
      <c r="C69" s="51"/>
      <c r="D69" s="79">
        <f>D76</f>
        <v>36</v>
      </c>
      <c r="E69" s="42"/>
      <c r="F69" s="79">
        <v>72</v>
      </c>
      <c r="G69" s="51"/>
      <c r="I69" s="96">
        <v>36</v>
      </c>
      <c r="K69" s="80">
        <v>72</v>
      </c>
      <c r="L69" s="51"/>
      <c r="M69" s="79">
        <v>36</v>
      </c>
      <c r="N69" s="42"/>
    </row>
    <row r="70" spans="1:14" ht="14.25">
      <c r="A70" s="137"/>
      <c r="B70" s="57"/>
      <c r="C70" s="72" t="s">
        <v>280</v>
      </c>
      <c r="D70" s="73">
        <f>O</f>
        <v>1.902113032590307</v>
      </c>
      <c r="E70" s="42"/>
      <c r="F70" s="79"/>
      <c r="G70" s="72" t="s">
        <v>262</v>
      </c>
      <c r="H70" s="73">
        <v>1.618033988749895</v>
      </c>
      <c r="K70" s="57"/>
      <c r="L70" s="72" t="s">
        <v>279</v>
      </c>
      <c r="M70" s="73">
        <v>1.902113032590307</v>
      </c>
      <c r="N70" s="42"/>
    </row>
    <row r="71" spans="1:14" ht="13.5">
      <c r="A71" s="137"/>
      <c r="B71" s="57"/>
      <c r="C71" s="2"/>
      <c r="D71" s="20" t="s">
        <v>100</v>
      </c>
      <c r="E71" s="42"/>
      <c r="F71" s="2"/>
      <c r="K71" s="57"/>
      <c r="L71" s="2"/>
      <c r="M71" s="20" t="s">
        <v>263</v>
      </c>
      <c r="N71" s="42"/>
    </row>
    <row r="72" spans="1:14" ht="14.25">
      <c r="A72" s="137"/>
      <c r="B72" s="57"/>
      <c r="C72" s="1" t="s">
        <v>7</v>
      </c>
      <c r="D72" s="76">
        <v>72</v>
      </c>
      <c r="E72" s="81" t="s">
        <v>253</v>
      </c>
      <c r="F72" s="2"/>
      <c r="G72" s="20" t="s">
        <v>296</v>
      </c>
      <c r="H72" s="2">
        <f>(M*N)/(N*SIN($A$1*72))</f>
        <v>2</v>
      </c>
      <c r="K72" s="57"/>
      <c r="L72" s="1" t="s">
        <v>264</v>
      </c>
      <c r="M72" s="76">
        <v>72</v>
      </c>
      <c r="N72" s="41"/>
    </row>
    <row r="73" spans="1:14" ht="13.5">
      <c r="A73" s="137"/>
      <c r="B73" s="44"/>
      <c r="C73" s="34"/>
      <c r="D73" s="33"/>
      <c r="E73" s="42"/>
      <c r="F73" s="2"/>
      <c r="K73" s="44"/>
      <c r="L73" s="34"/>
      <c r="M73" s="33"/>
      <c r="N73" s="42"/>
    </row>
    <row r="74" spans="1:14" ht="13.5">
      <c r="A74" s="137"/>
      <c r="B74" s="44"/>
      <c r="C74" s="32"/>
      <c r="D74" s="35" t="s">
        <v>100</v>
      </c>
      <c r="E74" s="42"/>
      <c r="F74" s="2"/>
      <c r="K74" s="44"/>
      <c r="L74" s="32"/>
      <c r="M74" s="35" t="s">
        <v>263</v>
      </c>
      <c r="N74" s="42"/>
    </row>
    <row r="75" spans="1:14" ht="13.5">
      <c r="A75" s="137"/>
      <c r="B75" s="45" t="s">
        <v>5</v>
      </c>
      <c r="C75" s="48">
        <f>(N^2+O^2-M^2)/(2*N*O)</f>
        <v>0.3090169943749475</v>
      </c>
      <c r="D75" s="77">
        <f>IF(ISERROR(VLOOKUP(E75,$IA$2:$IB$18,2,FALSE)),"",VLOOKUP(E75,$IA$2:$IB$18,2,FALSE))</f>
        <v>72</v>
      </c>
      <c r="E75" s="63">
        <f>TRUNC(C75,6)</f>
        <v>0.309016</v>
      </c>
      <c r="F75" s="2"/>
      <c r="G75" s="20" t="s">
        <v>3</v>
      </c>
      <c r="H75">
        <f>M/$H$72</f>
        <v>0.9510565162951535</v>
      </c>
      <c r="I75" s="77">
        <f>IF(ISERROR(VLOOKUP(J75,$HZ$2:$IB$18,3,FALSE)),"",VLOOKUP(J75,$HZ$2:$IB$18,3,FALSE))</f>
        <v>72</v>
      </c>
      <c r="J75" s="63">
        <f>TRUNC(H75,6)</f>
        <v>0.951056</v>
      </c>
      <c r="K75" s="45" t="s">
        <v>265</v>
      </c>
      <c r="L75" s="48">
        <v>0.3090169943749475</v>
      </c>
      <c r="M75" s="77">
        <v>72</v>
      </c>
      <c r="N75" s="63">
        <v>0.309016</v>
      </c>
    </row>
    <row r="76" spans="1:14" ht="13.5">
      <c r="A76" s="137"/>
      <c r="B76" s="45" t="s">
        <v>6</v>
      </c>
      <c r="C76" s="48">
        <f>(M^2+O^2-N^2)/(2*M*O)</f>
        <v>0.8090169943749475</v>
      </c>
      <c r="D76" s="77">
        <f>IF(ISERROR(VLOOKUP(E76,$IA$2:$IB$18,2,FALSE)),"",VLOOKUP(E76,$IA$2:$IB$18,2,FALSE))</f>
        <v>36</v>
      </c>
      <c r="E76" s="64">
        <f>TRUNC(C76,6)</f>
        <v>0.809016</v>
      </c>
      <c r="F76" s="2"/>
      <c r="G76" s="20" t="s">
        <v>4</v>
      </c>
      <c r="H76">
        <f>N/$H$72</f>
        <v>0.5877852522924731</v>
      </c>
      <c r="I76" s="77">
        <f>IF(ISERROR(VLOOKUP(J76,$HZ$2:$IB$18,3,FALSE)),"",VLOOKUP(J76,$HZ$2:$IB$18,3,FALSE))</f>
        <v>36</v>
      </c>
      <c r="J76" s="64">
        <f>TRUNC(H76,6)</f>
        <v>0.587785</v>
      </c>
      <c r="K76" s="45" t="s">
        <v>266</v>
      </c>
      <c r="L76" s="48">
        <v>0.8090169943749475</v>
      </c>
      <c r="M76" s="77">
        <v>36</v>
      </c>
      <c r="N76" s="64">
        <v>0.809016</v>
      </c>
    </row>
    <row r="77" spans="1:14" ht="14.25" thickBot="1">
      <c r="A77" s="137"/>
      <c r="B77" s="46" t="s">
        <v>359</v>
      </c>
      <c r="C77" s="49">
        <f>(M^2+N^2-O^2)/(2*M*N)</f>
        <v>0.3090169943749475</v>
      </c>
      <c r="D77" s="78">
        <f>IF(ISERROR(VLOOKUP(E77,$IA$2:$IB$18,2,FALSE)),"",VLOOKUP(E77,$IA$2:$IB$18,2,FALSE))</f>
        <v>72</v>
      </c>
      <c r="E77" s="65">
        <f>TRUNC(C77,6)</f>
        <v>0.309016</v>
      </c>
      <c r="F77" s="2"/>
      <c r="G77" s="20" t="s">
        <v>298</v>
      </c>
      <c r="H77">
        <f>O/$H$72</f>
        <v>0.9510565162951535</v>
      </c>
      <c r="I77" s="77">
        <f>IF(ISERROR(VLOOKUP(J77,$HZ$2:$IB$18,3,FALSE)),"",VLOOKUP(J77,$HZ$2:$IB$18,3,FALSE))</f>
        <v>72</v>
      </c>
      <c r="J77" s="101">
        <f>TRUNC(H77,6)</f>
        <v>0.951056</v>
      </c>
      <c r="K77" s="46" t="s">
        <v>267</v>
      </c>
      <c r="L77" s="49">
        <v>0.3090169943749475</v>
      </c>
      <c r="M77" s="78">
        <v>72</v>
      </c>
      <c r="N77" s="65">
        <v>0.309016</v>
      </c>
    </row>
    <row r="78" spans="12:13" ht="14.25" thickTop="1">
      <c r="L78" s="138" t="s">
        <v>268</v>
      </c>
      <c r="M78" s="138"/>
    </row>
    <row r="79" spans="4:5" ht="13.5">
      <c r="D79" s="32"/>
      <c r="E79" s="32"/>
    </row>
    <row r="80" spans="4:5" ht="14.25" thickBot="1">
      <c r="D80" s="93"/>
      <c r="E80" s="93"/>
    </row>
    <row r="81" spans="1:14" ht="14.25" thickTop="1">
      <c r="A81" s="137">
        <v>39012</v>
      </c>
      <c r="B81" s="36" t="s">
        <v>282</v>
      </c>
      <c r="C81" s="82">
        <f>IF(AND(NOT(D91=""),NOT(D81="")),D81,IF(NOT(D91=""),F81,IF(D94=90,E81,D81)))</f>
        <v>1.618033988749895</v>
      </c>
      <c r="D81" s="31"/>
      <c r="E81" s="41">
        <f>SQRT(S^2+Q^2)</f>
        <v>1.902113032590307</v>
      </c>
      <c r="F81" s="22">
        <f>SQRT(Q^2+S^2-2*Q*S*COS($A$1*D91))</f>
        <v>1.618033988749895</v>
      </c>
      <c r="K81" s="36" t="s">
        <v>281</v>
      </c>
      <c r="L81" s="82">
        <v>1.618033988749895</v>
      </c>
      <c r="M81" s="97"/>
      <c r="N81" s="88"/>
    </row>
    <row r="82" spans="1:14" ht="13.5">
      <c r="A82" s="137"/>
      <c r="B82" s="40" t="s">
        <v>284</v>
      </c>
      <c r="C82" s="67">
        <v>1.618033988749895</v>
      </c>
      <c r="D82" s="31">
        <f>COS($A$1*36)*2</f>
        <v>1.618033988749895</v>
      </c>
      <c r="E82" s="41">
        <f>SQRT(P^2+S^2)</f>
        <v>1.902113032590307</v>
      </c>
      <c r="I82" s="95"/>
      <c r="K82" s="40" t="s">
        <v>283</v>
      </c>
      <c r="L82" s="67">
        <v>1.618033988749895</v>
      </c>
      <c r="M82" s="31">
        <v>1.618033988749895</v>
      </c>
      <c r="N82" s="41"/>
    </row>
    <row r="83" spans="1:14" ht="13.5">
      <c r="A83" s="137"/>
      <c r="B83" s="40" t="s">
        <v>286</v>
      </c>
      <c r="C83" s="48">
        <v>1</v>
      </c>
      <c r="D83" s="31">
        <v>1</v>
      </c>
      <c r="E83" s="102">
        <f>SQRT(P^2+Q^2)</f>
        <v>2.288245611270737</v>
      </c>
      <c r="H83" s="96">
        <v>36</v>
      </c>
      <c r="K83" s="40" t="s">
        <v>285</v>
      </c>
      <c r="L83" s="48">
        <v>1</v>
      </c>
      <c r="M83" s="31">
        <v>1</v>
      </c>
      <c r="N83" s="41"/>
    </row>
    <row r="84" spans="1:14" ht="13.5">
      <c r="A84" s="137"/>
      <c r="B84" s="50"/>
      <c r="C84" s="51"/>
      <c r="D84" s="51"/>
      <c r="E84" s="43"/>
      <c r="I84" s="95" t="s">
        <v>294</v>
      </c>
      <c r="K84" s="50"/>
      <c r="L84" s="51"/>
      <c r="M84" s="51"/>
      <c r="N84" s="43"/>
    </row>
    <row r="85" spans="1:14" ht="13.5">
      <c r="A85" s="137"/>
      <c r="B85" s="50"/>
      <c r="C85" s="79">
        <f>D96</f>
        <v>36</v>
      </c>
      <c r="D85" s="51"/>
      <c r="E85" s="43"/>
      <c r="F85" s="2"/>
      <c r="K85" s="50"/>
      <c r="L85" s="79">
        <v>36</v>
      </c>
      <c r="M85" s="51"/>
      <c r="N85" s="43"/>
    </row>
    <row r="86" spans="1:14" ht="14.25">
      <c r="A86" s="137"/>
      <c r="B86" s="52" t="s">
        <v>360</v>
      </c>
      <c r="C86" s="70" t="s">
        <v>290</v>
      </c>
      <c r="D86" s="71" t="s">
        <v>288</v>
      </c>
      <c r="E86" s="41">
        <f>SQRT((COS(A)-COS(0))^2+(SIN(A)-SIN(0))^2)</f>
        <v>0.6096212422044334</v>
      </c>
      <c r="F86" s="26" t="s">
        <v>361</v>
      </c>
      <c r="G86" s="70" t="s">
        <v>261</v>
      </c>
      <c r="H86" s="71"/>
      <c r="K86" s="52" t="s">
        <v>260</v>
      </c>
      <c r="L86" s="70" t="s">
        <v>289</v>
      </c>
      <c r="M86" s="71" t="s">
        <v>287</v>
      </c>
      <c r="N86" s="41">
        <v>0.9739286503401029</v>
      </c>
    </row>
    <row r="87" spans="1:14" ht="14.25">
      <c r="A87" s="137"/>
      <c r="B87" s="50"/>
      <c r="C87" s="73">
        <f>Q</f>
        <v>1.618033988749895</v>
      </c>
      <c r="E87" s="83">
        <f>IF(P="",F81,P)</f>
        <v>1.618033988749895</v>
      </c>
      <c r="F87" s="50">
        <f>COS(A)</f>
        <v>0.8141809705265618</v>
      </c>
      <c r="G87" s="73"/>
      <c r="H87" s="51"/>
      <c r="K87" s="50"/>
      <c r="L87" s="73">
        <v>1.618033988749895</v>
      </c>
      <c r="M87" s="32"/>
      <c r="N87" s="84">
        <v>1.618033988749895</v>
      </c>
    </row>
    <row r="88" spans="1:14" ht="13.5">
      <c r="A88" s="137"/>
      <c r="B88" s="80">
        <f>D94</f>
        <v>72</v>
      </c>
      <c r="C88" s="51"/>
      <c r="D88" s="79">
        <f>D95</f>
        <v>72</v>
      </c>
      <c r="E88" s="42"/>
      <c r="F88" s="79"/>
      <c r="G88" s="51"/>
      <c r="I88" s="96"/>
      <c r="K88" s="80">
        <v>72</v>
      </c>
      <c r="L88" s="51"/>
      <c r="M88" s="79">
        <v>72</v>
      </c>
      <c r="N88" s="42"/>
    </row>
    <row r="89" spans="1:14" ht="14.25">
      <c r="A89" s="137"/>
      <c r="B89" s="57"/>
      <c r="C89" s="72" t="s">
        <v>292</v>
      </c>
      <c r="D89" s="73">
        <f>S</f>
        <v>1</v>
      </c>
      <c r="E89" s="42"/>
      <c r="F89" s="79">
        <v>72</v>
      </c>
      <c r="G89" s="72" t="s">
        <v>262</v>
      </c>
      <c r="H89" s="73">
        <v>1.618033988749895</v>
      </c>
      <c r="I89" s="96">
        <v>72</v>
      </c>
      <c r="K89" s="57"/>
      <c r="L89" s="72" t="s">
        <v>291</v>
      </c>
      <c r="M89" s="73">
        <v>1</v>
      </c>
      <c r="N89" s="42"/>
    </row>
    <row r="90" spans="1:14" ht="13.5">
      <c r="A90" s="137"/>
      <c r="B90" s="57"/>
      <c r="C90" s="2"/>
      <c r="D90" s="20" t="s">
        <v>100</v>
      </c>
      <c r="E90" s="42"/>
      <c r="F90" s="2"/>
      <c r="I90" s="95" t="s">
        <v>295</v>
      </c>
      <c r="K90" s="57"/>
      <c r="L90" s="98"/>
      <c r="M90" s="99" t="s">
        <v>263</v>
      </c>
      <c r="N90" s="42"/>
    </row>
    <row r="91" spans="1:14" ht="14.25">
      <c r="A91" s="137"/>
      <c r="B91" s="57"/>
      <c r="C91" s="1" t="s">
        <v>7</v>
      </c>
      <c r="D91" s="76">
        <v>72</v>
      </c>
      <c r="E91" s="81" t="s">
        <v>253</v>
      </c>
      <c r="F91" s="2"/>
      <c r="G91" s="20" t="s">
        <v>296</v>
      </c>
      <c r="H91" s="2">
        <f>(P*Q)/(Q*SIN($A$1*72))</f>
        <v>1.7013016167040798</v>
      </c>
      <c r="K91" s="57"/>
      <c r="L91" s="35" t="s">
        <v>264</v>
      </c>
      <c r="M91" s="100">
        <v>72</v>
      </c>
      <c r="N91" s="41"/>
    </row>
    <row r="92" spans="1:14" ht="13.5">
      <c r="A92" s="137"/>
      <c r="B92" s="44"/>
      <c r="C92" s="34"/>
      <c r="D92" s="33"/>
      <c r="E92" s="42"/>
      <c r="F92" s="2"/>
      <c r="G92" s="138" t="s">
        <v>293</v>
      </c>
      <c r="H92" s="138"/>
      <c r="K92" s="44"/>
      <c r="L92" s="34"/>
      <c r="M92" s="33"/>
      <c r="N92" s="42"/>
    </row>
    <row r="93" spans="1:14" ht="13.5">
      <c r="A93" s="137"/>
      <c r="B93" s="44"/>
      <c r="C93" s="32"/>
      <c r="D93" s="35" t="s">
        <v>100</v>
      </c>
      <c r="E93" s="42"/>
      <c r="F93" s="2"/>
      <c r="K93" s="44"/>
      <c r="L93" s="32"/>
      <c r="M93" s="35" t="s">
        <v>263</v>
      </c>
      <c r="N93" s="42"/>
    </row>
    <row r="94" spans="1:14" ht="13.5">
      <c r="A94" s="137"/>
      <c r="B94" s="45" t="s">
        <v>5</v>
      </c>
      <c r="C94" s="48">
        <f>(Q^2+S^2-P^2)/(2*Q*S)</f>
        <v>0.3090169943749474</v>
      </c>
      <c r="D94" s="77">
        <f>IF(ISERROR(VLOOKUP(E94,$IA$2:$IB$18,2,FALSE)),"",VLOOKUP(E94,$IA$2:$IB$18,2,FALSE))</f>
        <v>72</v>
      </c>
      <c r="E94" s="63">
        <f>TRUNC(C94,6)</f>
        <v>0.309016</v>
      </c>
      <c r="F94" s="2"/>
      <c r="K94" s="45" t="s">
        <v>265</v>
      </c>
      <c r="L94" s="48">
        <v>0.3090169943749474</v>
      </c>
      <c r="M94" s="77">
        <v>72</v>
      </c>
      <c r="N94" s="63">
        <v>0.309016</v>
      </c>
    </row>
    <row r="95" spans="1:14" ht="13.5">
      <c r="A95" s="137"/>
      <c r="B95" s="45" t="s">
        <v>6</v>
      </c>
      <c r="C95" s="48">
        <f>(P^2+S^2-Q^2)/(2*P*S)</f>
        <v>0.3090169943749474</v>
      </c>
      <c r="D95" s="77">
        <f>IF(ISERROR(VLOOKUP(E95,$IA$2:$IB$18,2,FALSE)),"",VLOOKUP(E95,$IA$2:$IB$18,2,FALSE))</f>
        <v>72</v>
      </c>
      <c r="E95" s="64">
        <f>TRUNC(C95,6)</f>
        <v>0.309016</v>
      </c>
      <c r="F95" s="2"/>
      <c r="K95" s="45" t="s">
        <v>266</v>
      </c>
      <c r="L95" s="48">
        <v>0.3090169943749474</v>
      </c>
      <c r="M95" s="77">
        <v>72</v>
      </c>
      <c r="N95" s="64">
        <v>0.309016</v>
      </c>
    </row>
    <row r="96" spans="1:14" ht="14.25" thickBot="1">
      <c r="A96" s="137"/>
      <c r="B96" s="46" t="s">
        <v>359</v>
      </c>
      <c r="C96" s="49">
        <f>(P^2+Q^2-S^2)/(2*P*Q)</f>
        <v>0.8090169943749475</v>
      </c>
      <c r="D96" s="78">
        <f>IF(ISERROR(VLOOKUP(E96,$IA$2:$IB$18,2,FALSE)),"",VLOOKUP(E96,$IA$2:$IB$18,2,FALSE))</f>
        <v>36</v>
      </c>
      <c r="E96" s="65">
        <f>TRUNC(C96,6)</f>
        <v>0.809016</v>
      </c>
      <c r="F96" s="2"/>
      <c r="K96" s="46" t="s">
        <v>267</v>
      </c>
      <c r="L96" s="49">
        <v>0.8090169943749475</v>
      </c>
      <c r="M96" s="78">
        <v>36</v>
      </c>
      <c r="N96" s="65">
        <v>0.809016</v>
      </c>
    </row>
    <row r="97" spans="12:13" ht="14.25" thickTop="1">
      <c r="L97" s="138" t="s">
        <v>268</v>
      </c>
      <c r="M97" s="138"/>
    </row>
  </sheetData>
  <mergeCells count="13">
    <mergeCell ref="HY26:HZ26"/>
    <mergeCell ref="A43:A58"/>
    <mergeCell ref="A28:A41"/>
    <mergeCell ref="G59:H59"/>
    <mergeCell ref="G43:H43"/>
    <mergeCell ref="B13:D13"/>
    <mergeCell ref="A81:A96"/>
    <mergeCell ref="L97:M97"/>
    <mergeCell ref="G92:H92"/>
    <mergeCell ref="A62:A77"/>
    <mergeCell ref="L78:M78"/>
    <mergeCell ref="L59:M59"/>
    <mergeCell ref="A6:A21"/>
  </mergeCells>
  <conditionalFormatting sqref="E33 F48:F49 E48 N86 N67 E67 F86:F87 F67:F68 E86 N11 T11">
    <cfRule type="expression" priority="1" dxfId="3" stopIfTrue="1">
      <formula>NOT(AND(E=1,F=1))</formula>
    </cfRule>
  </conditionalFormatting>
  <conditionalFormatting sqref="IA1 A1">
    <cfRule type="expression" priority="2" dxfId="0" stopIfTrue="1">
      <formula>CELL($J$2,A1)="l"</formula>
    </cfRule>
    <cfRule type="expression" priority="3" dxfId="1" stopIfTrue="1">
      <formula>CELL($J$2,A1)="v"</formula>
    </cfRule>
    <cfRule type="expression" priority="4" dxfId="2" stopIfTrue="1">
      <formula>CELL($J$2,A1)="b"</formula>
    </cfRule>
  </conditionalFormatting>
  <conditionalFormatting sqref="IE20:IE25">
    <cfRule type="expression" priority="5" dxfId="3" stopIfTrue="1">
      <formula>IB20=90</formula>
    </cfRule>
  </conditionalFormatting>
  <conditionalFormatting sqref="D53 M91 D72 M72 D91 M16 S16">
    <cfRule type="expression" priority="6" dxfId="4" stopIfTrue="1">
      <formula>NOT(D6="")</formula>
    </cfRule>
  </conditionalFormatting>
  <conditionalFormatting sqref="C45 L83 C64 L64 C83 L8 R8">
    <cfRule type="expression" priority="7" dxfId="3" stopIfTrue="1">
      <formula>L&gt;=J+K</formula>
    </cfRule>
  </conditionalFormatting>
  <dataValidations count="17">
    <dataValidation type="list" allowBlank="1" showInputMessage="1" showErrorMessage="1" sqref="C29">
      <formula1>$H$23:$I$23</formula1>
    </dataValidation>
    <dataValidation type="list" allowBlank="1" showInputMessage="1" showErrorMessage="1" promptTitle="Dropdown List" prompt="Select length" sqref="C45 L8 R8">
      <formula1>$D$45:$E$45</formula1>
    </dataValidation>
    <dataValidation type="list" allowBlank="1" showInputMessage="1" showErrorMessage="1" promptTitle="Select degrees" prompt="Use dropdown list" sqref="D53 M91 D72 M72 D91 M16 S16">
      <formula1>$IB$2:$IB$23</formula1>
    </dataValidation>
    <dataValidation allowBlank="1" showInputMessage="1" showErrorMessage="1" promptTitle="Degrees" prompt="eg. 11.25" sqref="IB20 IB23"/>
    <dataValidation allowBlank="1" showInputMessage="1" showErrorMessage="1" promptTitle="180-(B21+B22) Degrees" prompt="180-(B21+B22) Degrees" sqref="IB25"/>
    <dataValidation allowBlank="1" showInputMessage="1" showErrorMessage="1" promptTitle="180-(B18+B19) Degrees" prompt="180-(B18+B19) Degrees" sqref="IB22"/>
    <dataValidation type="list" allowBlank="1" showInputMessage="1" showErrorMessage="1" promptTitle="Dropdown List" prompt="Select Length" sqref="C44 L7 R7">
      <formula1>$D$44:$E$44</formula1>
    </dataValidation>
    <dataValidation allowBlank="1" showInputMessage="1" showErrorMessage="1" promptTitle="Length" prompt="e.g. 3.05&#10;Blank when cell D51 is filled in for degrees A." sqref="D43"/>
    <dataValidation allowBlank="1" showInputMessage="1" showErrorMessage="1" promptTitle="Length" prompt="e.g. 1.618034" sqref="D44 D82 D63 M7 S7"/>
    <dataValidation allowBlank="1" showInputMessage="1" showErrorMessage="1" promptTitle="Length" prompt="e.g. =SQRT(5)" sqref="D45 D83 D64 M8 S8"/>
    <dataValidation type="list" allowBlank="1" showInputMessage="1" showErrorMessage="1" promptTitle="Dropdown List" prompt="Select length" sqref="C64">
      <formula1>$D$64:$E$64</formula1>
    </dataValidation>
    <dataValidation type="list" allowBlank="1" showInputMessage="1" showErrorMessage="1" promptTitle="Dropdown List" prompt="Select Length" sqref="C63">
      <formula1>$D$63:$E$63</formula1>
    </dataValidation>
    <dataValidation allowBlank="1" showInputMessage="1" showErrorMessage="1" promptTitle="Length" prompt="e.g. 3.05&#10;Blank when cell D70 is filled in for degrees A." sqref="D62 M81"/>
    <dataValidation type="list" allowBlank="1" showInputMessage="1" showErrorMessage="1" promptTitle="Dropdown List" prompt="Select Length" sqref="C82">
      <formula1>$D$82:$E$82</formula1>
    </dataValidation>
    <dataValidation type="list" allowBlank="1" showInputMessage="1" showErrorMessage="1" promptTitle="Dropdown List" prompt="Select length" sqref="C83">
      <formula1>$D$83:$E$83</formula1>
    </dataValidation>
    <dataValidation allowBlank="1" showInputMessage="1" showErrorMessage="1" promptTitle="Length" prompt="e.g. 3.05&#10;Blank when cell D89 is filled in for degrees A." sqref="D81"/>
    <dataValidation allowBlank="1" showInputMessage="1" showErrorMessage="1" promptTitle="Length" prompt="e.g. 3.05&#10;Blank when cell M16 is filled in for degrees A." sqref="M6 S6"/>
  </dataValidations>
  <hyperlinks>
    <hyperlink ref="B1" r:id="rId1" display="Google &amp; Excel"/>
    <hyperlink ref="C1" location="'Trigonometric Function'!IE1" display="Table"/>
    <hyperlink ref="E53" location="'Trigonometric Function'!IB18" display="Table"/>
    <hyperlink ref="HY26" location="'Trigonometric Function'!D51" display="D51: Select Angle"/>
    <hyperlink ref="E72" location="'Trigonometric Function'!IB18" display="Table"/>
    <hyperlink ref="E91" location="'Trigonometric Function'!IB18" display="Table"/>
    <hyperlink ref="G43" r:id="rId2" display="Cosine Formula"/>
    <hyperlink ref="A2" r:id="rId3" display="Vector"/>
    <hyperlink ref="B6" r:id="rId4" display="Inner Product -- from Wolfram MathWorld"/>
    <hyperlink ref="E1" location="'Trigonometric Function'!F43" display="Cosine Formula"/>
    <hyperlink ref="G1" location="'Trigonometric Function'!G59" display="Hexagon"/>
    <hyperlink ref="I59" r:id="rId5" display="Hexagon -- from Wolfram MathWorld"/>
    <hyperlink ref="P56" r:id="rId6" display="8 * (sin(30 degrees)^2) * (1 - cos(120 degrees)) = 3"/>
    <hyperlink ref="H1" location="'Trigonometric Function'!E8" display="Inner Product"/>
    <hyperlink ref="N16" location="'Trigonometric Function'!IB18" display="Table"/>
    <hyperlink ref="H3" r:id="rId7" display="Dot Product -- from Wolfram MathWorld"/>
    <hyperlink ref="H4" r:id="rId8" display="Inner Product -- from Wolfram MathWorld"/>
    <hyperlink ref="T16" location="'Trigonometric Function'!IB18" display="Table"/>
  </hyperlinks>
  <printOptions/>
  <pageMargins left="0.75" right="0.75" top="1" bottom="1" header="0.512" footer="0.512"/>
  <pageSetup horizontalDpi="300" verticalDpi="300" orientation="portrait" paperSize="9" r:id="rId12"/>
  <drawing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Matsuoka</dc:creator>
  <cp:keywords/>
  <dc:description/>
  <cp:lastModifiedBy> </cp:lastModifiedBy>
  <cp:lastPrinted>2006-10-04T13:18:22Z</cp:lastPrinted>
  <dcterms:created xsi:type="dcterms:W3CDTF">2005-09-22T01:40:41Z</dcterms:created>
  <dcterms:modified xsi:type="dcterms:W3CDTF">2007-01-18T16:30:57Z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